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truebing\Desktop\"/>
    </mc:Choice>
  </mc:AlternateContent>
  <xr:revisionPtr revIDLastSave="0" documentId="8_{EB8E8B43-C146-4071-B834-7FBF311AE0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latt1" sheetId="1" r:id="rId1"/>
    <sheet name="Blatt2" sheetId="2" state="hidden" r:id="rId2"/>
  </sheets>
  <definedNames>
    <definedName name="_xlnm.Print_Area" localSheetId="0">Blatt1!$B$3:$T$95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D100" i="1"/>
  <c r="D99" i="1"/>
  <c r="D98" i="1"/>
  <c r="D97" i="1"/>
  <c r="D96" i="1"/>
  <c r="F100" i="1"/>
  <c r="F99" i="1"/>
  <c r="F98" i="1"/>
  <c r="F97" i="1"/>
  <c r="F96" i="1"/>
  <c r="H100" i="1"/>
  <c r="H99" i="1"/>
  <c r="H98" i="1"/>
  <c r="H97" i="1"/>
  <c r="H96" i="1"/>
  <c r="J76" i="1" l="1"/>
  <c r="J75" i="1"/>
  <c r="J74" i="1"/>
  <c r="J73" i="1"/>
  <c r="J72" i="1"/>
  <c r="P38" i="1"/>
  <c r="P37" i="1"/>
  <c r="P36" i="1"/>
  <c r="P35" i="1"/>
  <c r="P34" i="1"/>
  <c r="F47" i="1" l="1"/>
  <c r="F62" i="1"/>
  <c r="F66" i="1" s="1"/>
  <c r="F64" i="1"/>
  <c r="H20" i="1"/>
  <c r="J96" i="1" s="1"/>
  <c r="L84" i="1"/>
  <c r="L85" i="1"/>
  <c r="L86" i="1"/>
  <c r="L87" i="1"/>
  <c r="L88" i="1"/>
  <c r="F49" i="1"/>
  <c r="D76" i="1"/>
  <c r="D112" i="1"/>
  <c r="D75" i="1"/>
  <c r="D111" i="1"/>
  <c r="D74" i="1"/>
  <c r="D86" i="1" s="1"/>
  <c r="D110" i="1"/>
  <c r="D73" i="1"/>
  <c r="D109" i="1"/>
  <c r="D72" i="1"/>
  <c r="D108" i="1"/>
  <c r="F106" i="1"/>
  <c r="F105" i="1"/>
  <c r="F104" i="1"/>
  <c r="F103" i="1"/>
  <c r="F102" i="1"/>
  <c r="D106" i="1"/>
  <c r="D105" i="1"/>
  <c r="D104" i="1"/>
  <c r="D103" i="1"/>
  <c r="D102" i="1"/>
  <c r="J97" i="1"/>
  <c r="D88" i="1"/>
  <c r="D87" i="1"/>
  <c r="D85" i="1"/>
  <c r="D84" i="1"/>
  <c r="F63" i="1"/>
  <c r="H29" i="1"/>
  <c r="H30" i="1"/>
  <c r="J17" i="1"/>
  <c r="J18" i="1"/>
  <c r="F40" i="1"/>
  <c r="H72" i="1" l="1"/>
  <c r="H74" i="1"/>
  <c r="L74" i="1" s="1"/>
  <c r="N74" i="1" s="1"/>
  <c r="F75" i="1"/>
  <c r="F87" i="1"/>
  <c r="F110" i="1"/>
  <c r="L72" i="1"/>
  <c r="N72" i="1" s="1"/>
  <c r="L76" i="1"/>
  <c r="F73" i="1"/>
  <c r="F85" i="1"/>
  <c r="H76" i="1"/>
  <c r="F112" i="1"/>
  <c r="C82" i="1"/>
  <c r="F72" i="1"/>
  <c r="H73" i="1"/>
  <c r="L73" i="1" s="1"/>
  <c r="N73" i="1" s="1"/>
  <c r="F74" i="1"/>
  <c r="F86" i="1"/>
  <c r="F109" i="1"/>
  <c r="F108" i="1"/>
  <c r="C70" i="1"/>
  <c r="F84" i="1"/>
  <c r="H75" i="1"/>
  <c r="L75" i="1" s="1"/>
  <c r="N75" i="1" s="1"/>
  <c r="F76" i="1"/>
  <c r="F88" i="1"/>
  <c r="F111" i="1"/>
  <c r="J15" i="1"/>
  <c r="J16" i="1"/>
  <c r="J14" i="1"/>
  <c r="J20" i="1" s="1"/>
  <c r="J99" i="1"/>
  <c r="J98" i="1"/>
  <c r="F51" i="1"/>
  <c r="J100" i="1"/>
  <c r="P85" i="1" l="1"/>
  <c r="P75" i="1"/>
  <c r="N85" i="1"/>
  <c r="F52" i="1"/>
  <c r="N84" i="1"/>
  <c r="P84" i="1" s="1"/>
  <c r="P90" i="1" s="1"/>
  <c r="N88" i="1"/>
  <c r="N86" i="1"/>
  <c r="F90" i="1"/>
  <c r="P72" i="1"/>
  <c r="F78" i="1"/>
  <c r="P73" i="1"/>
  <c r="P88" i="1"/>
  <c r="P86" i="1"/>
  <c r="N76" i="1"/>
  <c r="P76" i="1" s="1"/>
  <c r="H112" i="1" s="1"/>
  <c r="N87" i="1"/>
  <c r="P74" i="1"/>
  <c r="H110" i="1" s="1"/>
  <c r="P87" i="1"/>
  <c r="H109" i="1" l="1"/>
  <c r="J56" i="1"/>
  <c r="J58" i="1"/>
  <c r="J60" i="1"/>
  <c r="J57" i="1"/>
  <c r="J59" i="1"/>
  <c r="R72" i="1"/>
  <c r="R75" i="1"/>
  <c r="R74" i="1"/>
  <c r="R76" i="1"/>
  <c r="R73" i="1"/>
  <c r="H108" i="1"/>
  <c r="P78" i="1"/>
  <c r="H111" i="1"/>
  <c r="H104" i="1" l="1"/>
  <c r="L58" i="1"/>
  <c r="N58" i="1" s="1"/>
  <c r="P58" i="1" s="1"/>
  <c r="H105" i="1"/>
  <c r="L59" i="1"/>
  <c r="N59" i="1" s="1"/>
  <c r="P59" i="1" s="1"/>
  <c r="H102" i="1"/>
  <c r="L56" i="1"/>
  <c r="J62" i="1"/>
  <c r="H103" i="1"/>
  <c r="L57" i="1"/>
  <c r="N57" i="1" s="1"/>
  <c r="P57" i="1" s="1"/>
  <c r="H106" i="1"/>
  <c r="L60" i="1"/>
  <c r="N60" i="1" s="1"/>
  <c r="P60" i="1" s="1"/>
  <c r="N56" i="1" l="1"/>
  <c r="L62" i="1"/>
  <c r="H114" i="1"/>
  <c r="L104" i="1" s="1"/>
  <c r="L106" i="1" l="1"/>
  <c r="L103" i="1"/>
  <c r="P56" i="1"/>
  <c r="P62" i="1" s="1"/>
  <c r="N62" i="1"/>
  <c r="L98" i="1"/>
  <c r="L96" i="1"/>
  <c r="L100" i="1"/>
  <c r="L97" i="1"/>
  <c r="L99" i="1"/>
  <c r="L112" i="1"/>
  <c r="L110" i="1"/>
  <c r="L111" i="1"/>
  <c r="L108" i="1"/>
  <c r="L109" i="1"/>
  <c r="L102" i="1"/>
  <c r="L105" i="1"/>
  <c r="L114" i="1" l="1"/>
</calcChain>
</file>

<file path=xl/sharedStrings.xml><?xml version="1.0" encoding="utf-8"?>
<sst xmlns="http://schemas.openxmlformats.org/spreadsheetml/2006/main" count="98" uniqueCount="78">
  <si>
    <t>ja</t>
  </si>
  <si>
    <t>nein</t>
  </si>
  <si>
    <t>Common</t>
  </si>
  <si>
    <t>COOPERATIVA Venture Group // www.cooperativa.vc</t>
  </si>
  <si>
    <t>%</t>
  </si>
  <si>
    <t>Berechnungstool für Wandeldarlehensverträge</t>
  </si>
  <si>
    <t>Gesellschafter</t>
  </si>
  <si>
    <t>Anteilsklasse</t>
  </si>
  <si>
    <t>Anteile</t>
  </si>
  <si>
    <t>Gründer 1</t>
  </si>
  <si>
    <t>Gründer 2</t>
  </si>
  <si>
    <t>1. Gesellschafterstruktur / Cap-Table vor der Wandeldarlehensfinanzierungsrunde</t>
  </si>
  <si>
    <t>2. Wandeldarlehensfinanzierungsrunde</t>
  </si>
  <si>
    <t>Darlehensbetrag</t>
  </si>
  <si>
    <t>Auszahlungstag</t>
  </si>
  <si>
    <t>Darlehensgeber</t>
  </si>
  <si>
    <t>Wandlungsbetrag</t>
  </si>
  <si>
    <t>Gründer 3</t>
  </si>
  <si>
    <t>Friends &amp; Family Investor 1</t>
  </si>
  <si>
    <t>Friends &amp; Family Investor 2</t>
  </si>
  <si>
    <t>F&amp;F</t>
  </si>
  <si>
    <t>In diesen Feldern können Eingaben gemacht werden, Rest errechnet sich bzw. ist verknüpft</t>
  </si>
  <si>
    <t>Bewertung Zwingende Wandlung</t>
  </si>
  <si>
    <t>Endfälligkeitstag</t>
  </si>
  <si>
    <t>Discount</t>
  </si>
  <si>
    <t>Summe</t>
  </si>
  <si>
    <t>Darlehensgeber 1</t>
  </si>
  <si>
    <t>Darlehensgeber 2</t>
  </si>
  <si>
    <t>Darlehensgeber 3</t>
  </si>
  <si>
    <t>Darlehensgeber 4</t>
  </si>
  <si>
    <t>Darlehensgeber 5</t>
  </si>
  <si>
    <t>Zins p.a.</t>
  </si>
  <si>
    <t>Vorhergehende Bewertung</t>
  </si>
  <si>
    <t>Pre-Money Bewertung der Runde</t>
  </si>
  <si>
    <t>Stammkapital vor der Runde</t>
  </si>
  <si>
    <t>Preis pro Anteil</t>
  </si>
  <si>
    <t>Investmentbudget</t>
  </si>
  <si>
    <t>Eigenkapitalinvestoren</t>
  </si>
  <si>
    <t>Bereits Gesellschafter?</t>
  </si>
  <si>
    <t>NEIN</t>
  </si>
  <si>
    <t>Eigenkapitalinvestor 1</t>
  </si>
  <si>
    <t>Eigenkapitalinvestor 2</t>
  </si>
  <si>
    <t>Eigenkapitalinvestor 3</t>
  </si>
  <si>
    <t>Eigenkapitalinvestor 4</t>
  </si>
  <si>
    <t>Eigenkapitalinvestor 5</t>
  </si>
  <si>
    <t>JA</t>
  </si>
  <si>
    <t>hiervon von Bestandsgesellschaftern</t>
  </si>
  <si>
    <t>hiervon von neuen Investoren</t>
  </si>
  <si>
    <t>Übernehmer Neue Anteile</t>
  </si>
  <si>
    <t>Datum des Kapitalerhöhungsbeschlusses</t>
  </si>
  <si>
    <t>a. Eckdaten der neuen Runde</t>
  </si>
  <si>
    <t>Wandlung rechtzeitig vor Endfälligkeit?</t>
  </si>
  <si>
    <t>Wandlungsbewertung</t>
  </si>
  <si>
    <t>Erwerbspreis pro Anteil</t>
  </si>
  <si>
    <t>Effektiver Discount</t>
  </si>
  <si>
    <t>zu übernehmende Anteile</t>
  </si>
  <si>
    <t>3. Wandlung im Rahmen einer Qualifizierten Finanzierungsrunde ("Finanzierungsrundenwandlung")</t>
  </si>
  <si>
    <t>...kleiner als Cap?</t>
  </si>
  <si>
    <t>Bewertung nach Discount...</t>
  </si>
  <si>
    <t>Qualifizierte Finanzierungsrunde?</t>
  </si>
  <si>
    <t>b1. Berechnung der durch die Wandlung zu übernehmenden neuen Anteile in der FINANZIERUNGSRUNDENWANDLUNG (Normalfall)</t>
  </si>
  <si>
    <t>Zahlung Nennbetrag</t>
  </si>
  <si>
    <t>Zuzahlung Rücklage</t>
  </si>
  <si>
    <t>Gesamtinvestment</t>
  </si>
  <si>
    <t>c. resultierender Cap-Table nach der Kapitalerhöhung</t>
  </si>
  <si>
    <t>Ausgegebene Anteilsklasse</t>
  </si>
  <si>
    <t>Series-A</t>
  </si>
  <si>
    <t>%  vor der Runde</t>
  </si>
  <si>
    <t>% post Runde</t>
  </si>
  <si>
    <t>Höchste bisherige Anteilsklasse</t>
  </si>
  <si>
    <t>Minimum für Qualifizierte Finanzierungsrunde...</t>
  </si>
  <si>
    <t>...davon von neuen Investoren</t>
  </si>
  <si>
    <t>b2. Berechnung der durch die Wandlung zu übernehmenden neuen Anteile in der ZWINGENDEN WANDLUNG (Fall-Back)</t>
  </si>
  <si>
    <t xml:space="preserve"> INVEST HINWEISE</t>
  </si>
  <si>
    <t>Bewertungs Cap (0=kein Cap)</t>
  </si>
  <si>
    <t>[VERSION MAI-2020 für BAND/BVDS Arbeitsgruppe]</t>
  </si>
  <si>
    <t>VERWENDUNG AUSSCHLIESSLICH AUF EIGENES RISIKO! KEINERLEI GARANTIE FÜR KORREKTE BERECHNUNG &amp; ANGABEN!</t>
  </si>
  <si>
    <t xml:space="preserve">Hinweis: die Darstellung und Berechnung in diesem Excel-Sheet orientiert sich aktuell am gesellschaftsrechtlichen Cap-Table. Eventuellen Optionen, virtuelle Optionen, Warrants oder andere verwässernde Faktoren sind nicht dargestellt. Sollte eine sogenannte "fully-diluted" Darstellung gewünscht sein, sind die verwässende Funktion wie weitere Gesellschafter einzutragen und das Stammkapital entsprechend zu erhöhen.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</si>
</sst>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0.0%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scheme val="minor"/>
    </font>
    <font>
      <sz val="2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family val="2"/>
      <scheme val="minor"/>
    </font>
    <font>
      <i/>
      <sz val="10"/>
      <name val="Calibri"/>
      <scheme val="minor"/>
    </font>
    <font>
      <i/>
      <sz val="10"/>
      <color theme="1" tint="0.499984740745262"/>
      <name val="Calibri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/>
    <xf numFmtId="0" fontId="3" fillId="2" borderId="1" xfId="0" applyFont="1" applyFill="1" applyBorder="1"/>
    <xf numFmtId="164" fontId="0" fillId="2" borderId="0" xfId="1" applyNumberFormat="1" applyFont="1" applyFill="1" applyBorder="1"/>
    <xf numFmtId="0" fontId="0" fillId="2" borderId="2" xfId="0" applyFill="1" applyBorder="1"/>
    <xf numFmtId="164" fontId="0" fillId="2" borderId="2" xfId="1" applyNumberFormat="1" applyFont="1" applyFill="1" applyBorder="1"/>
    <xf numFmtId="10" fontId="0" fillId="2" borderId="2" xfId="2" applyNumberFormat="1" applyFont="1" applyFill="1" applyBorder="1"/>
    <xf numFmtId="164" fontId="0" fillId="2" borderId="0" xfId="0" applyNumberForma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/>
    <xf numFmtId="44" fontId="0" fillId="2" borderId="0" xfId="1" applyNumberFormat="1" applyFont="1" applyFill="1" applyBorder="1"/>
    <xf numFmtId="0" fontId="0" fillId="2" borderId="0" xfId="0" applyFill="1" applyAlignment="1">
      <alignment wrapText="1"/>
    </xf>
    <xf numFmtId="0" fontId="3" fillId="2" borderId="4" xfId="0" applyFont="1" applyFill="1" applyBorder="1"/>
    <xf numFmtId="164" fontId="3" fillId="2" borderId="0" xfId="0" applyNumberFormat="1" applyFont="1" applyFill="1" applyBorder="1" applyAlignment="1">
      <alignment horizontal="center"/>
    </xf>
    <xf numFmtId="14" fontId="0" fillId="2" borderId="0" xfId="0" applyNumberFormat="1" applyFill="1" applyBorder="1"/>
    <xf numFmtId="0" fontId="0" fillId="2" borderId="0" xfId="0" applyFont="1" applyFill="1" applyBorder="1"/>
    <xf numFmtId="0" fontId="5" fillId="2" borderId="0" xfId="0" applyFont="1" applyFill="1" applyBorder="1"/>
    <xf numFmtId="0" fontId="9" fillId="2" borderId="0" xfId="0" applyFont="1" applyFill="1" applyBorder="1"/>
    <xf numFmtId="0" fontId="0" fillId="2" borderId="0" xfId="0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164" fontId="0" fillId="2" borderId="5" xfId="1" applyNumberFormat="1" applyFont="1" applyFill="1" applyBorder="1"/>
    <xf numFmtId="0" fontId="3" fillId="2" borderId="0" xfId="0" applyFont="1" applyFill="1" applyBorder="1" applyAlignment="1">
      <alignment horizontal="left"/>
    </xf>
    <xf numFmtId="164" fontId="3" fillId="2" borderId="4" xfId="0" applyNumberFormat="1" applyFont="1" applyFill="1" applyBorder="1"/>
    <xf numFmtId="3" fontId="9" fillId="2" borderId="0" xfId="0" applyNumberFormat="1" applyFont="1" applyFill="1" applyBorder="1"/>
    <xf numFmtId="10" fontId="1" fillId="2" borderId="0" xfId="2" applyNumberFormat="1" applyFont="1" applyFill="1" applyBorder="1" applyAlignment="1">
      <alignment horizontal="right"/>
    </xf>
    <xf numFmtId="9" fontId="9" fillId="2" borderId="0" xfId="2" applyFont="1" applyFill="1" applyBorder="1"/>
    <xf numFmtId="14" fontId="0" fillId="3" borderId="3" xfId="0" applyNumberFormat="1" applyFill="1" applyBorder="1"/>
    <xf numFmtId="164" fontId="0" fillId="3" borderId="3" xfId="1" applyNumberFormat="1" applyFont="1" applyFill="1" applyBorder="1"/>
    <xf numFmtId="164" fontId="0" fillId="3" borderId="3" xfId="1" applyNumberFormat="1" applyFont="1" applyFill="1" applyBorder="1" applyAlignment="1">
      <alignment horizontal="right"/>
    </xf>
    <xf numFmtId="14" fontId="0" fillId="3" borderId="3" xfId="0" applyNumberFormat="1" applyFill="1" applyBorder="1" applyAlignment="1">
      <alignment horizontal="right"/>
    </xf>
    <xf numFmtId="0" fontId="0" fillId="3" borderId="0" xfId="0" applyFill="1" applyBorder="1"/>
    <xf numFmtId="165" fontId="0" fillId="2" borderId="0" xfId="0" applyNumberFormat="1" applyFill="1"/>
    <xf numFmtId="164" fontId="9" fillId="2" borderId="0" xfId="1" applyNumberFormat="1" applyFont="1" applyFill="1" applyBorder="1"/>
    <xf numFmtId="0" fontId="10" fillId="2" borderId="0" xfId="0" applyFont="1" applyFill="1" applyBorder="1"/>
    <xf numFmtId="0" fontId="0" fillId="3" borderId="3" xfId="0" applyFill="1" applyBorder="1"/>
    <xf numFmtId="0" fontId="3" fillId="2" borderId="0" xfId="0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14" fontId="0" fillId="2" borderId="0" xfId="0" applyNumberFormat="1" applyFill="1" applyBorder="1" applyAlignment="1">
      <alignment horizontal="right"/>
    </xf>
    <xf numFmtId="0" fontId="10" fillId="2" borderId="0" xfId="0" applyNumberFormat="1" applyFont="1" applyFill="1" applyBorder="1" applyAlignment="1">
      <alignment horizontal="left" wrapText="1"/>
    </xf>
    <xf numFmtId="166" fontId="0" fillId="3" borderId="3" xfId="2" applyNumberFormat="1" applyFont="1" applyFill="1" applyBorder="1"/>
    <xf numFmtId="9" fontId="0" fillId="3" borderId="3" xfId="2" applyNumberFormat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14" fontId="3" fillId="2" borderId="0" xfId="0" applyNumberFormat="1" applyFont="1" applyFill="1" applyBorder="1"/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14" fontId="0" fillId="3" borderId="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0" fillId="2" borderId="0" xfId="1" applyFont="1" applyFill="1" applyBorder="1"/>
    <xf numFmtId="44" fontId="0" fillId="2" borderId="0" xfId="0" applyNumberFormat="1" applyFill="1"/>
    <xf numFmtId="166" fontId="0" fillId="2" borderId="0" xfId="2" applyNumberFormat="1" applyFont="1" applyFill="1"/>
    <xf numFmtId="10" fontId="0" fillId="2" borderId="0" xfId="2" applyNumberFormat="1" applyFont="1" applyFill="1"/>
    <xf numFmtId="164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4" fontId="0" fillId="2" borderId="0" xfId="1" applyNumberFormat="1" applyFont="1" applyFill="1" applyBorder="1" applyAlignment="1">
      <alignment horizontal="right"/>
    </xf>
    <xf numFmtId="44" fontId="3" fillId="2" borderId="0" xfId="0" applyNumberFormat="1" applyFont="1" applyFill="1" applyBorder="1"/>
    <xf numFmtId="44" fontId="0" fillId="2" borderId="0" xfId="0" applyNumberFormat="1" applyFill="1" applyBorder="1"/>
    <xf numFmtId="44" fontId="3" fillId="2" borderId="0" xfId="0" applyNumberFormat="1" applyFont="1" applyFill="1"/>
    <xf numFmtId="164" fontId="3" fillId="2" borderId="0" xfId="0" applyNumberFormat="1" applyFont="1" applyFill="1"/>
    <xf numFmtId="0" fontId="0" fillId="2" borderId="0" xfId="0" applyFill="1" applyBorder="1" applyAlignment="1">
      <alignment wrapText="1"/>
    </xf>
    <xf numFmtId="0" fontId="0" fillId="2" borderId="0" xfId="0" applyFont="1" applyFill="1"/>
    <xf numFmtId="0" fontId="0" fillId="3" borderId="3" xfId="0" applyFill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49" fontId="0" fillId="3" borderId="3" xfId="1" applyNumberFormat="1" applyFont="1" applyFill="1" applyBorder="1" applyAlignment="1">
      <alignment horizontal="center"/>
    </xf>
    <xf numFmtId="10" fontId="3" fillId="2" borderId="0" xfId="2" applyNumberFormat="1" applyFont="1" applyFill="1"/>
    <xf numFmtId="0" fontId="8" fillId="4" borderId="0" xfId="0" applyFont="1" applyFill="1" applyBorder="1"/>
    <xf numFmtId="0" fontId="0" fillId="4" borderId="0" xfId="0" applyFont="1" applyFill="1"/>
    <xf numFmtId="164" fontId="8" fillId="4" borderId="0" xfId="1" applyNumberFormat="1" applyFont="1" applyFill="1" applyBorder="1"/>
    <xf numFmtId="164" fontId="9" fillId="4" borderId="0" xfId="1" applyNumberFormat="1" applyFont="1" applyFill="1" applyBorder="1"/>
    <xf numFmtId="9" fontId="9" fillId="4" borderId="0" xfId="2" applyFont="1" applyFill="1" applyBorder="1"/>
    <xf numFmtId="10" fontId="0" fillId="4" borderId="0" xfId="2" applyNumberFormat="1" applyFont="1" applyFill="1"/>
    <xf numFmtId="0" fontId="0" fillId="3" borderId="0" xfId="0" applyFont="1" applyFill="1"/>
    <xf numFmtId="164" fontId="0" fillId="3" borderId="0" xfId="0" applyNumberFormat="1" applyFont="1" applyFill="1"/>
    <xf numFmtId="10" fontId="0" fillId="3" borderId="0" xfId="2" applyNumberFormat="1" applyFont="1" applyFill="1"/>
    <xf numFmtId="0" fontId="0" fillId="3" borderId="0" xfId="0" applyFont="1" applyFill="1" applyBorder="1"/>
    <xf numFmtId="164" fontId="0" fillId="3" borderId="0" xfId="0" applyNumberFormat="1" applyFont="1" applyFill="1" applyBorder="1"/>
    <xf numFmtId="0" fontId="12" fillId="2" borderId="0" xfId="0" applyFont="1" applyFill="1" applyBorder="1"/>
    <xf numFmtId="0" fontId="13" fillId="2" borderId="0" xfId="0" applyFont="1" applyFill="1" applyBorder="1"/>
    <xf numFmtId="0" fontId="10" fillId="2" borderId="0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49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Prozent" xfId="2" builtinId="5"/>
    <cellStyle name="Standard" xfId="0" builtinId="0"/>
    <cellStyle name="Währung" xfId="1" builtinId="4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41"/>
  <sheetViews>
    <sheetView tabSelected="1" topLeftCell="D1" zoomScale="120" zoomScaleNormal="120" zoomScalePageLayoutView="120" workbookViewId="0">
      <selection activeCell="H26" sqref="H26"/>
    </sheetView>
  </sheetViews>
  <sheetFormatPr baseColWidth="10" defaultColWidth="10.875" defaultRowHeight="15.75" x14ac:dyDescent="0.25"/>
  <cols>
    <col min="1" max="1" width="2.625" style="1" customWidth="1"/>
    <col min="2" max="2" width="3.375" style="1" customWidth="1"/>
    <col min="3" max="3" width="4.375" style="1" customWidth="1"/>
    <col min="4" max="4" width="39.5" style="1" customWidth="1"/>
    <col min="5" max="5" width="3.875" style="1" customWidth="1"/>
    <col min="6" max="6" width="20.625" style="1" customWidth="1"/>
    <col min="7" max="7" width="2.375" style="1" customWidth="1"/>
    <col min="8" max="8" width="22.875" style="1" customWidth="1"/>
    <col min="9" max="9" width="2.125" style="1" customWidth="1"/>
    <col min="10" max="10" width="21" style="1" customWidth="1"/>
    <col min="11" max="11" width="2.5" style="1" customWidth="1"/>
    <col min="12" max="12" width="18.875" style="1" customWidth="1"/>
    <col min="13" max="13" width="3.375" style="1" customWidth="1"/>
    <col min="14" max="14" width="19.875" style="1" customWidth="1"/>
    <col min="15" max="15" width="3" style="1" customWidth="1"/>
    <col min="16" max="16" width="22.375" style="1" customWidth="1"/>
    <col min="17" max="17" width="2.625" style="1" customWidth="1"/>
    <col min="18" max="18" width="17.5" style="1" customWidth="1"/>
    <col min="19" max="19" width="12.5" style="1" customWidth="1"/>
    <col min="20" max="20" width="5.125" style="1" customWidth="1"/>
    <col min="21" max="16384" width="10.875" style="1"/>
  </cols>
  <sheetData>
    <row r="1" spans="2:37" s="2" customFormat="1" ht="8.1" customHeight="1" x14ac:dyDescent="0.2"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2:37" s="2" customFormat="1" ht="15.95" customHeight="1" x14ac:dyDescent="0.25">
      <c r="B2" s="20" t="s">
        <v>3</v>
      </c>
      <c r="C2" s="2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2:37" s="2" customFormat="1" ht="15.95" customHeight="1" x14ac:dyDescent="0.25">
      <c r="B3" s="20" t="s">
        <v>5</v>
      </c>
      <c r="C3" s="2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7" s="2" customFormat="1" ht="15.95" customHeight="1" x14ac:dyDescent="0.45">
      <c r="B4" s="80" t="s">
        <v>75</v>
      </c>
      <c r="C4" s="3"/>
      <c r="D4" s="19"/>
      <c r="E4" s="1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2:37" s="2" customFormat="1" ht="6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2:37" s="2" customFormat="1" ht="15.95" customHeight="1" x14ac:dyDescent="0.2">
      <c r="B6" s="81" t="s">
        <v>76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2:37" s="2" customFormat="1" ht="15.95" customHeight="1" thickBo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2:37" s="2" customFormat="1" ht="15.95" customHeight="1" thickBot="1" x14ac:dyDescent="0.25">
      <c r="B8" s="83" t="s">
        <v>21</v>
      </c>
      <c r="C8" s="84"/>
      <c r="D8" s="84"/>
      <c r="E8" s="84"/>
      <c r="F8" s="84"/>
      <c r="G8" s="84"/>
      <c r="H8" s="84"/>
      <c r="I8" s="84"/>
      <c r="J8" s="8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2:37" s="2" customFormat="1" ht="15.9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2:37" s="2" customFormat="1" ht="15.95" customHeight="1" x14ac:dyDescent="0.25">
      <c r="B10" s="12" t="s">
        <v>11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2:37" s="4" customFormat="1" ht="5.0999999999999996" customHeight="1" x14ac:dyDescent="0.25"/>
    <row r="12" spans="2:37" s="2" customFormat="1" ht="15.95" customHeight="1" x14ac:dyDescent="0.25">
      <c r="B12" s="3"/>
      <c r="C12" s="3"/>
      <c r="D12" s="5" t="s">
        <v>6</v>
      </c>
      <c r="E12" s="5"/>
      <c r="F12" s="5" t="s">
        <v>7</v>
      </c>
      <c r="G12" s="5"/>
      <c r="H12" s="11" t="s">
        <v>8</v>
      </c>
      <c r="I12" s="11"/>
      <c r="J12" s="11" t="s">
        <v>4</v>
      </c>
      <c r="K12" s="38"/>
      <c r="O12" s="3"/>
      <c r="P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2:37" ht="5.0999999999999996" customHeight="1" thickBot="1" x14ac:dyDescent="0.3">
      <c r="B13" s="4"/>
      <c r="C13" s="4"/>
      <c r="D13" s="12"/>
      <c r="E13" s="12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2:37" s="2" customFormat="1" ht="15.95" customHeight="1" thickBot="1" x14ac:dyDescent="0.3">
      <c r="B14" s="3"/>
      <c r="C14" s="3"/>
      <c r="D14" s="37" t="s">
        <v>9</v>
      </c>
      <c r="E14" s="14"/>
      <c r="F14" s="65" t="s">
        <v>2</v>
      </c>
      <c r="G14" s="4"/>
      <c r="H14" s="31">
        <v>12500</v>
      </c>
      <c r="I14" s="39"/>
      <c r="J14" s="27">
        <f>H14/H$20</f>
        <v>0.38461538461538464</v>
      </c>
      <c r="K14" s="27"/>
      <c r="O14" s="3"/>
      <c r="P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2:37" s="2" customFormat="1" ht="15.95" customHeight="1" thickBot="1" x14ac:dyDescent="0.3">
      <c r="B15" s="3"/>
      <c r="C15" s="3"/>
      <c r="D15" s="37" t="s">
        <v>10</v>
      </c>
      <c r="E15" s="1"/>
      <c r="F15" s="65" t="s">
        <v>2</v>
      </c>
      <c r="G15" s="4"/>
      <c r="H15" s="31">
        <v>10000</v>
      </c>
      <c r="I15" s="39"/>
      <c r="J15" s="27">
        <f>H15/H$20</f>
        <v>0.30769230769230771</v>
      </c>
      <c r="K15" s="27"/>
      <c r="O15" s="36"/>
      <c r="P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2:37" s="2" customFormat="1" ht="15.95" customHeight="1" thickBot="1" x14ac:dyDescent="0.3">
      <c r="B16" s="3"/>
      <c r="C16" s="3"/>
      <c r="D16" s="37" t="s">
        <v>17</v>
      </c>
      <c r="E16" s="1"/>
      <c r="F16" s="65" t="s">
        <v>2</v>
      </c>
      <c r="G16" s="4"/>
      <c r="H16" s="31">
        <v>2500</v>
      </c>
      <c r="I16" s="39"/>
      <c r="J16" s="27">
        <f t="shared" ref="J16:J18" si="0">H16/H$20</f>
        <v>7.6923076923076927E-2</v>
      </c>
      <c r="K16" s="27"/>
      <c r="O16" s="36"/>
      <c r="P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2:37" s="2" customFormat="1" ht="15.95" customHeight="1" thickBot="1" x14ac:dyDescent="0.3">
      <c r="B17" s="3"/>
      <c r="C17" s="3"/>
      <c r="D17" s="37" t="s">
        <v>18</v>
      </c>
      <c r="E17" s="1"/>
      <c r="F17" s="65" t="s">
        <v>20</v>
      </c>
      <c r="G17" s="4"/>
      <c r="H17" s="31">
        <v>5000</v>
      </c>
      <c r="I17" s="39"/>
      <c r="J17" s="27">
        <f t="shared" si="0"/>
        <v>0.15384615384615385</v>
      </c>
      <c r="K17" s="27"/>
      <c r="O17" s="36"/>
      <c r="P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7" s="2" customFormat="1" ht="15.95" customHeight="1" thickBot="1" x14ac:dyDescent="0.3">
      <c r="B18" s="3"/>
      <c r="C18" s="3"/>
      <c r="D18" s="37" t="s">
        <v>19</v>
      </c>
      <c r="E18" s="1"/>
      <c r="F18" s="65" t="s">
        <v>20</v>
      </c>
      <c r="G18" s="4"/>
      <c r="H18" s="31">
        <v>2500</v>
      </c>
      <c r="I18" s="39"/>
      <c r="J18" s="27">
        <f t="shared" si="0"/>
        <v>7.6923076923076927E-2</v>
      </c>
      <c r="K18" s="27"/>
      <c r="O18" s="36"/>
      <c r="P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2:37" ht="5.0999999999999996" customHeight="1" thickBot="1" x14ac:dyDescent="0.3">
      <c r="B19" s="4"/>
      <c r="C19" s="4"/>
      <c r="D19" s="7"/>
      <c r="E19" s="7"/>
      <c r="F19" s="7"/>
      <c r="G19" s="7"/>
      <c r="H19" s="8"/>
      <c r="I19" s="8"/>
      <c r="J19" s="7"/>
      <c r="K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2:37" s="2" customFormat="1" ht="15.95" customHeight="1" thickTop="1" x14ac:dyDescent="0.25">
      <c r="B20" s="3"/>
      <c r="C20" s="3"/>
      <c r="D20" s="3"/>
      <c r="E20" s="3"/>
      <c r="F20" s="3"/>
      <c r="G20" s="3"/>
      <c r="H20" s="35">
        <f>SUM(H14:H19)</f>
        <v>32500</v>
      </c>
      <c r="I20" s="35"/>
      <c r="J20" s="28">
        <f>SUM(J14:J19)</f>
        <v>1</v>
      </c>
      <c r="K20" s="2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2:37" s="2" customFormat="1" ht="8.1" customHeight="1" x14ac:dyDescent="0.25">
      <c r="B21" s="3"/>
      <c r="C21" s="3"/>
      <c r="D21" s="3"/>
      <c r="E21" s="3"/>
      <c r="F21" s="3"/>
      <c r="G21" s="3"/>
      <c r="H21" s="35"/>
      <c r="I21" s="35"/>
      <c r="J21" s="28"/>
      <c r="K21" s="2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2:37" s="2" customFormat="1" ht="51.95" customHeight="1" x14ac:dyDescent="0.2">
      <c r="B22" s="3"/>
      <c r="C22" s="3"/>
      <c r="D22" s="82" t="s">
        <v>77</v>
      </c>
      <c r="E22" s="82"/>
      <c r="F22" s="82"/>
      <c r="G22" s="82"/>
      <c r="H22" s="82"/>
      <c r="I22" s="82"/>
      <c r="J22" s="82"/>
      <c r="K22" s="4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2:37" s="2" customFormat="1" ht="15.95" customHeight="1" x14ac:dyDescent="0.25">
      <c r="B23" s="3"/>
      <c r="C23" s="3"/>
      <c r="D23" s="3"/>
      <c r="E23" s="3"/>
      <c r="F23" s="3"/>
      <c r="G23" s="3"/>
      <c r="H23" s="26"/>
      <c r="I23" s="26"/>
      <c r="J23" s="28"/>
      <c r="K23" s="2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2:37" s="2" customFormat="1" ht="15.95" customHeight="1" x14ac:dyDescent="0.25">
      <c r="B24" s="12" t="s">
        <v>12</v>
      </c>
      <c r="C24" s="12"/>
      <c r="D24" s="3"/>
      <c r="E24" s="3"/>
      <c r="F24" s="3"/>
      <c r="G24" s="3"/>
      <c r="H24" s="45" t="s">
        <v>73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2:37" s="4" customFormat="1" ht="5.0999999999999996" customHeight="1" thickBot="1" x14ac:dyDescent="0.3"/>
    <row r="26" spans="2:37" ht="15.95" customHeight="1" thickBot="1" x14ac:dyDescent="0.3">
      <c r="B26" s="4"/>
      <c r="C26" s="4"/>
      <c r="D26" s="12" t="s">
        <v>23</v>
      </c>
      <c r="E26" s="12"/>
      <c r="F26" s="29">
        <v>43555</v>
      </c>
      <c r="G26" s="17"/>
      <c r="H26" s="44" t="str">
        <f>IF((F26-MIN(H34:H39))&gt;(365/12*15),"WARNUNG: Die Wandlung eines Darlehens darf für INVEST maximal 24 Monate nach Ausstellung des Bewilligungsbescheides erfolgen.","-")</f>
        <v>-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2:37" ht="15.95" customHeight="1" thickBot="1" x14ac:dyDescent="0.3">
      <c r="B27" s="4"/>
      <c r="C27" s="4"/>
      <c r="D27" s="24" t="s">
        <v>70</v>
      </c>
      <c r="E27" s="24"/>
      <c r="F27" s="30">
        <v>1000000</v>
      </c>
      <c r="G27" s="17"/>
      <c r="H27" s="4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2:37" ht="15.95" customHeight="1" thickBot="1" x14ac:dyDescent="0.3">
      <c r="B28" s="4"/>
      <c r="C28" s="4"/>
      <c r="D28" s="24" t="s">
        <v>71</v>
      </c>
      <c r="E28" s="24"/>
      <c r="F28" s="30">
        <v>500000</v>
      </c>
      <c r="G28" s="17"/>
      <c r="H28" s="4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2:37" ht="15.95" customHeight="1" thickBot="1" x14ac:dyDescent="0.3">
      <c r="B29" s="4"/>
      <c r="C29" s="4"/>
      <c r="D29" s="12" t="s">
        <v>32</v>
      </c>
      <c r="E29" s="12"/>
      <c r="F29" s="30">
        <v>2500000</v>
      </c>
      <c r="G29" s="17"/>
      <c r="H29" s="44" t="str">
        <f>IF(MAX(L34:L39)&gt;30%,"WARNUNG: Discount darf für INVEST maximal 30% betragen.","-")</f>
        <v>-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2:37" ht="15.95" customHeight="1" thickBot="1" x14ac:dyDescent="0.3">
      <c r="B30" s="4"/>
      <c r="C30" s="4"/>
      <c r="D30" s="12" t="s">
        <v>22</v>
      </c>
      <c r="E30" s="12"/>
      <c r="F30" s="30">
        <v>2500000</v>
      </c>
      <c r="G30" s="17"/>
      <c r="H30" s="44" t="str">
        <f>IF(F30&lt;F29,"HINWEIS: Zwingende Wandlung sollte für INVEST nicht unter vorhergehender Bewertung liegen.","-")</f>
        <v>-</v>
      </c>
      <c r="I30" s="4"/>
      <c r="J30" s="4"/>
      <c r="K30" s="4"/>
      <c r="L30" s="4"/>
      <c r="M30" s="4"/>
      <c r="N30" s="87" t="s">
        <v>74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2:37" s="4" customFormat="1" ht="5.0999999999999996" customHeight="1" x14ac:dyDescent="0.25">
      <c r="N31" s="87"/>
    </row>
    <row r="32" spans="2:37" ht="15.95" customHeight="1" x14ac:dyDescent="0.25">
      <c r="B32" s="4"/>
      <c r="C32" s="4"/>
      <c r="D32" s="5" t="s">
        <v>15</v>
      </c>
      <c r="E32" s="5"/>
      <c r="F32" s="11" t="s">
        <v>13</v>
      </c>
      <c r="G32" s="11"/>
      <c r="H32" s="11" t="s">
        <v>14</v>
      </c>
      <c r="I32" s="11"/>
      <c r="J32" s="11" t="s">
        <v>31</v>
      </c>
      <c r="K32" s="5"/>
      <c r="L32" s="11" t="s">
        <v>24</v>
      </c>
      <c r="M32" s="5"/>
      <c r="N32" s="88"/>
      <c r="P32" s="45" t="s">
        <v>73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2:37" ht="5.0999999999999996" customHeight="1" thickBot="1" x14ac:dyDescent="0.3">
      <c r="B33" s="4"/>
      <c r="C33" s="4"/>
      <c r="D33" s="12"/>
      <c r="E33" s="12"/>
      <c r="F33" s="21"/>
      <c r="G33" s="21"/>
      <c r="H33" s="21"/>
      <c r="I33" s="21"/>
      <c r="N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2:37" ht="15.95" customHeight="1" thickBot="1" x14ac:dyDescent="0.3">
      <c r="B34" s="4"/>
      <c r="C34" s="4"/>
      <c r="D34" s="37" t="s">
        <v>26</v>
      </c>
      <c r="E34" s="18"/>
      <c r="F34" s="31">
        <v>100000</v>
      </c>
      <c r="G34" s="22"/>
      <c r="H34" s="29">
        <v>43101</v>
      </c>
      <c r="I34" s="17"/>
      <c r="J34" s="42">
        <v>0.06</v>
      </c>
      <c r="L34" s="43">
        <v>0.25</v>
      </c>
      <c r="N34" s="31">
        <v>5000000</v>
      </c>
      <c r="P34" s="44" t="str">
        <f>IF(N34&lt;&gt;0,(IF(N34&lt;F$29,"WARNUNG: Cap darf für INVEST nicht unter vorhergehender Bewertung liegen.","-")),"Kein Cap")</f>
        <v>-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2:37" ht="15.95" customHeight="1" thickBot="1" x14ac:dyDescent="0.3">
      <c r="B35" s="4"/>
      <c r="C35" s="4"/>
      <c r="D35" s="37" t="s">
        <v>27</v>
      </c>
      <c r="E35" s="18"/>
      <c r="F35" s="31">
        <v>100000</v>
      </c>
      <c r="G35" s="22"/>
      <c r="H35" s="29">
        <v>43115</v>
      </c>
      <c r="I35" s="17"/>
      <c r="J35" s="42">
        <v>0.06</v>
      </c>
      <c r="L35" s="43">
        <v>0.25</v>
      </c>
      <c r="N35" s="31">
        <v>5000000</v>
      </c>
      <c r="P35" s="44" t="str">
        <f>IF(N35&lt;&gt;0,(IF(N35&lt;F$29,"WARNUNG: Cap darf für INVEST nicht unter vorhergehender Bewertung liegen.","-")),"Kein Cap")</f>
        <v>-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2:37" ht="15.95" customHeight="1" thickBot="1" x14ac:dyDescent="0.3">
      <c r="B36" s="4"/>
      <c r="C36" s="4"/>
      <c r="D36" s="37" t="s">
        <v>28</v>
      </c>
      <c r="E36" s="18"/>
      <c r="F36" s="31">
        <v>50000</v>
      </c>
      <c r="G36" s="22"/>
      <c r="H36" s="32">
        <v>43497</v>
      </c>
      <c r="I36" s="40"/>
      <c r="J36" s="42">
        <v>0.06</v>
      </c>
      <c r="L36" s="43">
        <v>0.2</v>
      </c>
      <c r="N36" s="31">
        <v>5000000</v>
      </c>
      <c r="P36" s="44" t="str">
        <f>IF(N36&lt;&gt;0,(IF(N36&lt;F$29,"WARNUNG: Cap darf für INVEST nicht unter vorhergehender Bewertung liegen.","-")),"Kein Cap")</f>
        <v>-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2:37" ht="16.5" thickBot="1" x14ac:dyDescent="0.3">
      <c r="B37" s="4"/>
      <c r="C37" s="4"/>
      <c r="D37" s="37" t="s">
        <v>29</v>
      </c>
      <c r="E37" s="18"/>
      <c r="F37" s="30">
        <v>50000</v>
      </c>
      <c r="G37" s="23"/>
      <c r="H37" s="29">
        <v>43506</v>
      </c>
      <c r="I37" s="17"/>
      <c r="J37" s="42">
        <v>0.06</v>
      </c>
      <c r="L37" s="43">
        <v>0.15</v>
      </c>
      <c r="N37" s="31">
        <v>5000000</v>
      </c>
      <c r="P37" s="44" t="str">
        <f>IF(N37&lt;&gt;0,(IF(N37&lt;F$29,"WARNUNG: Cap darf für INVEST nicht unter vorhergehender Bewertung liegen.","-")),"Kein Cap")</f>
        <v>-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2:37" ht="16.5" thickBot="1" x14ac:dyDescent="0.3">
      <c r="B38" s="4"/>
      <c r="C38" s="4"/>
      <c r="D38" s="37" t="s">
        <v>30</v>
      </c>
      <c r="E38" s="18"/>
      <c r="F38" s="30">
        <v>25000</v>
      </c>
      <c r="G38" s="23"/>
      <c r="H38" s="29">
        <v>43525</v>
      </c>
      <c r="I38" s="17"/>
      <c r="J38" s="42">
        <v>0.06</v>
      </c>
      <c r="L38" s="43">
        <v>0.15</v>
      </c>
      <c r="N38" s="31">
        <v>5000000</v>
      </c>
      <c r="P38" s="44" t="str">
        <f>IF(N38&lt;&gt;0,(IF(N38&lt;F$29,"WARNUNG: Cap darf für INVEST nicht unter vorhergehender Bewertung liegen.","-")),"Kein Cap")</f>
        <v>-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2:37" ht="5.0999999999999996" customHeight="1" thickBot="1" x14ac:dyDescent="0.3">
      <c r="B39" s="4"/>
      <c r="C39" s="4"/>
      <c r="H39" s="7"/>
      <c r="I39" s="7"/>
      <c r="J39" s="7"/>
      <c r="K39" s="7"/>
      <c r="L39" s="7"/>
      <c r="M39" s="7"/>
      <c r="N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2:37" ht="16.5" thickTop="1" x14ac:dyDescent="0.25">
      <c r="B40" s="4"/>
      <c r="C40" s="4"/>
      <c r="D40" s="15" t="s">
        <v>25</v>
      </c>
      <c r="E40" s="15"/>
      <c r="F40" s="25">
        <f>SUM(F34:F39)</f>
        <v>325000</v>
      </c>
      <c r="G40" s="15"/>
      <c r="H40" s="46"/>
      <c r="I40" s="12"/>
      <c r="N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2:37" x14ac:dyDescent="0.25">
      <c r="B41" s="4"/>
      <c r="C41" s="4"/>
      <c r="D41" s="12"/>
      <c r="E41" s="12"/>
      <c r="F41" s="47"/>
      <c r="G41" s="12"/>
      <c r="H41" s="46"/>
      <c r="I41" s="12"/>
      <c r="N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2:37" x14ac:dyDescent="0.25">
      <c r="B42" s="12" t="s">
        <v>56</v>
      </c>
      <c r="C42" s="12"/>
      <c r="D42" s="12"/>
      <c r="E42" s="12"/>
      <c r="F42" s="47"/>
      <c r="G42" s="12"/>
      <c r="H42" s="46"/>
      <c r="I42" s="12"/>
      <c r="N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2:37" x14ac:dyDescent="0.25">
      <c r="B43" s="4"/>
      <c r="C43" s="4"/>
      <c r="D43" s="12"/>
      <c r="E43" s="12"/>
      <c r="F43" s="47"/>
      <c r="G43" s="12"/>
      <c r="H43" s="46"/>
      <c r="I43" s="12"/>
      <c r="N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2:37" x14ac:dyDescent="0.25">
      <c r="B44" s="4"/>
      <c r="C44" s="12" t="s">
        <v>50</v>
      </c>
      <c r="D44" s="12"/>
      <c r="E44" s="12"/>
      <c r="F44" s="47"/>
      <c r="G44" s="12"/>
      <c r="H44" s="46"/>
      <c r="I44" s="12"/>
      <c r="N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2:37" s="4" customFormat="1" ht="5.0999999999999996" customHeight="1" thickBot="1" x14ac:dyDescent="0.3"/>
    <row r="46" spans="2:37" ht="16.5" thickBot="1" x14ac:dyDescent="0.3">
      <c r="B46" s="4"/>
      <c r="C46" s="4"/>
      <c r="D46" s="12" t="s">
        <v>49</v>
      </c>
      <c r="E46" s="12"/>
      <c r="F46" s="29">
        <v>43525</v>
      </c>
      <c r="G46" s="12"/>
      <c r="H46" s="46"/>
      <c r="I46" s="12"/>
      <c r="N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2:37" ht="16.5" thickBot="1" x14ac:dyDescent="0.3">
      <c r="B47" s="4"/>
      <c r="C47" s="4"/>
      <c r="D47" s="12" t="s">
        <v>51</v>
      </c>
      <c r="E47" s="12"/>
      <c r="F47" s="16" t="str">
        <f>IF(F46&lt;F26,"JA","NEIN")</f>
        <v>JA</v>
      </c>
      <c r="G47" s="12"/>
      <c r="H47" s="12"/>
      <c r="I47" s="12"/>
      <c r="N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2:37" ht="16.5" thickBot="1" x14ac:dyDescent="0.3">
      <c r="B48" s="4"/>
      <c r="C48" s="4"/>
      <c r="D48" s="12" t="s">
        <v>33</v>
      </c>
      <c r="E48" s="12"/>
      <c r="F48" s="30">
        <v>6000000</v>
      </c>
      <c r="G48" s="12"/>
      <c r="H48" s="46"/>
      <c r="I48" s="12"/>
      <c r="N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16.5" thickBot="1" x14ac:dyDescent="0.3">
      <c r="B49" s="4"/>
      <c r="C49" s="4"/>
      <c r="D49" s="12" t="s">
        <v>69</v>
      </c>
      <c r="E49" s="12"/>
      <c r="F49" s="66" t="str">
        <f>F17</f>
        <v>F&amp;F</v>
      </c>
      <c r="G49" s="12"/>
      <c r="H49" s="46"/>
      <c r="I49" s="12"/>
      <c r="N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16.5" thickBot="1" x14ac:dyDescent="0.3">
      <c r="B50" s="4"/>
      <c r="C50" s="4"/>
      <c r="D50" s="12" t="s">
        <v>65</v>
      </c>
      <c r="E50" s="12"/>
      <c r="F50" s="67" t="s">
        <v>66</v>
      </c>
      <c r="G50" s="12"/>
      <c r="H50" s="46"/>
      <c r="I50" s="12"/>
      <c r="N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x14ac:dyDescent="0.25">
      <c r="B51" s="4"/>
      <c r="C51" s="4"/>
      <c r="D51" s="12" t="s">
        <v>34</v>
      </c>
      <c r="E51" s="12"/>
      <c r="F51" s="6">
        <f>H20</f>
        <v>32500</v>
      </c>
      <c r="G51" s="12"/>
      <c r="H51" s="46"/>
      <c r="I51" s="12"/>
      <c r="N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x14ac:dyDescent="0.25">
      <c r="B52" s="4"/>
      <c r="C52" s="4"/>
      <c r="D52" s="12" t="s">
        <v>35</v>
      </c>
      <c r="E52" s="12"/>
      <c r="F52" s="13">
        <f>F48/F51</f>
        <v>184.61538461538461</v>
      </c>
      <c r="G52" s="12"/>
      <c r="H52" s="46"/>
      <c r="I52" s="12"/>
      <c r="N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s="4" customFormat="1" ht="5.0999999999999996" customHeight="1" x14ac:dyDescent="0.25"/>
    <row r="54" spans="2:37" ht="15.95" customHeight="1" x14ac:dyDescent="0.25">
      <c r="B54" s="4"/>
      <c r="C54" s="4"/>
      <c r="D54" s="5" t="s">
        <v>37</v>
      </c>
      <c r="E54" s="5"/>
      <c r="F54" s="11" t="s">
        <v>36</v>
      </c>
      <c r="G54" s="11"/>
      <c r="H54" s="11" t="s">
        <v>38</v>
      </c>
      <c r="I54" s="11"/>
      <c r="J54" s="11" t="s">
        <v>55</v>
      </c>
      <c r="K54" s="11"/>
      <c r="L54" s="11" t="s">
        <v>61</v>
      </c>
      <c r="M54" s="11"/>
      <c r="N54" s="11" t="s">
        <v>62</v>
      </c>
      <c r="O54" s="11"/>
      <c r="P54" s="11" t="s">
        <v>63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5.0999999999999996" customHeight="1" thickBot="1" x14ac:dyDescent="0.3">
      <c r="B55" s="4"/>
      <c r="C55" s="4"/>
      <c r="D55" s="12"/>
      <c r="E55" s="12"/>
      <c r="F55" s="21"/>
      <c r="G55" s="21"/>
      <c r="H55" s="21"/>
      <c r="I55" s="21"/>
      <c r="J55" s="4"/>
      <c r="K55" s="4"/>
      <c r="L55" s="4"/>
      <c r="M55" s="4"/>
      <c r="N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2:37" ht="15.95" customHeight="1" thickBot="1" x14ac:dyDescent="0.3">
      <c r="B56" s="4"/>
      <c r="C56" s="4"/>
      <c r="D56" s="37" t="s">
        <v>40</v>
      </c>
      <c r="E56" s="18"/>
      <c r="F56" s="31">
        <v>750000</v>
      </c>
      <c r="G56" s="22"/>
      <c r="H56" s="49" t="s">
        <v>39</v>
      </c>
      <c r="I56" s="17"/>
      <c r="J56" s="6">
        <f>ROUND(F56/F$52,0)</f>
        <v>4063</v>
      </c>
      <c r="K56" s="4"/>
      <c r="L56" s="10">
        <f>J56</f>
        <v>4063</v>
      </c>
      <c r="M56" s="4"/>
      <c r="N56" s="60">
        <f>L56*(F$52-1)</f>
        <v>746029.30769230763</v>
      </c>
      <c r="P56" s="52">
        <f>N56+L56</f>
        <v>750092.30769230763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2:37" ht="15.95" customHeight="1" thickBot="1" x14ac:dyDescent="0.3">
      <c r="B57" s="4"/>
      <c r="C57" s="4"/>
      <c r="D57" s="37" t="s">
        <v>41</v>
      </c>
      <c r="E57" s="18"/>
      <c r="F57" s="31">
        <v>500000</v>
      </c>
      <c r="G57" s="22"/>
      <c r="H57" s="49" t="s">
        <v>39</v>
      </c>
      <c r="I57" s="17"/>
      <c r="J57" s="6">
        <f>ROUND(F57/F$52,0)</f>
        <v>2708</v>
      </c>
      <c r="K57" s="4"/>
      <c r="L57" s="10">
        <f>J57</f>
        <v>2708</v>
      </c>
      <c r="M57" s="4"/>
      <c r="N57" s="60">
        <f>L57*(F$52-1)</f>
        <v>497230.46153846156</v>
      </c>
      <c r="P57" s="52">
        <f>N57+L57</f>
        <v>499938.46153846156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2:37" ht="15.95" customHeight="1" thickBot="1" x14ac:dyDescent="0.3">
      <c r="B58" s="4"/>
      <c r="C58" s="4"/>
      <c r="D58" s="37" t="s">
        <v>42</v>
      </c>
      <c r="E58" s="18"/>
      <c r="F58" s="31">
        <v>50000</v>
      </c>
      <c r="G58" s="22"/>
      <c r="H58" s="49" t="s">
        <v>45</v>
      </c>
      <c r="I58" s="40"/>
      <c r="J58" s="6">
        <f>ROUND(F58/F$52,0)</f>
        <v>271</v>
      </c>
      <c r="K58" s="4"/>
      <c r="L58" s="10">
        <f>J58</f>
        <v>271</v>
      </c>
      <c r="M58" s="4"/>
      <c r="N58" s="60">
        <f>L58*(F$52-1)</f>
        <v>49759.769230769227</v>
      </c>
      <c r="P58" s="52">
        <f>N58+L58</f>
        <v>50030.769230769227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2:37" ht="16.5" thickBot="1" x14ac:dyDescent="0.3">
      <c r="B59" s="4"/>
      <c r="C59" s="4"/>
      <c r="D59" s="37" t="s">
        <v>43</v>
      </c>
      <c r="E59" s="18"/>
      <c r="F59" s="30">
        <v>50000</v>
      </c>
      <c r="G59" s="23"/>
      <c r="H59" s="49" t="s">
        <v>45</v>
      </c>
      <c r="I59" s="17"/>
      <c r="J59" s="6">
        <f>ROUND(F59/F$52,0)</f>
        <v>271</v>
      </c>
      <c r="K59" s="4"/>
      <c r="L59" s="10">
        <f>J59</f>
        <v>271</v>
      </c>
      <c r="M59" s="4"/>
      <c r="N59" s="60">
        <f>L59*(F$52-1)</f>
        <v>49759.769230769227</v>
      </c>
      <c r="P59" s="52">
        <f>N59+L59</f>
        <v>50030.769230769227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2:37" ht="16.5" thickBot="1" x14ac:dyDescent="0.3">
      <c r="B60" s="4"/>
      <c r="C60" s="4"/>
      <c r="D60" s="37" t="s">
        <v>44</v>
      </c>
      <c r="E60" s="18"/>
      <c r="F60" s="30">
        <v>25000</v>
      </c>
      <c r="G60" s="23"/>
      <c r="H60" s="49" t="s">
        <v>45</v>
      </c>
      <c r="I60" s="17"/>
      <c r="J60" s="6">
        <f>ROUND(F60/F$52,0)</f>
        <v>135</v>
      </c>
      <c r="K60" s="4"/>
      <c r="L60" s="10">
        <f>J60</f>
        <v>135</v>
      </c>
      <c r="M60" s="4"/>
      <c r="N60" s="60">
        <f>L60*(F$52-1)</f>
        <v>24788.076923076922</v>
      </c>
      <c r="P60" s="52">
        <f>N60+L60</f>
        <v>24923.076923076922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2:37" ht="5.0999999999999996" customHeight="1" thickBot="1" x14ac:dyDescent="0.3">
      <c r="B61" s="4"/>
      <c r="C61" s="4"/>
      <c r="H61" s="7"/>
      <c r="I61" s="7"/>
      <c r="J61" s="7"/>
      <c r="K61" s="7"/>
      <c r="L61" s="7"/>
      <c r="M61" s="7"/>
      <c r="N61" s="7"/>
      <c r="O61" s="7"/>
      <c r="P61" s="7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2:37" ht="16.5" thickTop="1" x14ac:dyDescent="0.25">
      <c r="B62" s="4"/>
      <c r="C62" s="4"/>
      <c r="D62" s="15" t="s">
        <v>25</v>
      </c>
      <c r="E62" s="15"/>
      <c r="F62" s="25">
        <f>SUM(F56:F61)</f>
        <v>1375000</v>
      </c>
      <c r="G62" s="15"/>
      <c r="H62" s="46"/>
      <c r="I62" s="12"/>
      <c r="J62" s="62">
        <f>SUM(J56:J61)</f>
        <v>7448</v>
      </c>
      <c r="K62" s="4"/>
      <c r="L62" s="61">
        <f>SUM(L56:L61)</f>
        <v>7448</v>
      </c>
      <c r="M62" s="4"/>
      <c r="N62" s="61">
        <f>SUM(N56:N61)</f>
        <v>1367567.3846153847</v>
      </c>
      <c r="P62" s="61">
        <f>SUM(P56:P61)</f>
        <v>1375015.3846153847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37" x14ac:dyDescent="0.25">
      <c r="B63" s="4"/>
      <c r="C63" s="4"/>
      <c r="D63" s="12" t="s">
        <v>46</v>
      </c>
      <c r="E63" s="12"/>
      <c r="F63" s="47">
        <f>SUMIF(H56:H61,"JA",F56:F61)</f>
        <v>125000</v>
      </c>
      <c r="G63" s="12"/>
      <c r="H63" s="46"/>
      <c r="I63" s="12"/>
      <c r="N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2:37" x14ac:dyDescent="0.25">
      <c r="B64" s="4"/>
      <c r="C64" s="4"/>
      <c r="D64" s="12" t="s">
        <v>47</v>
      </c>
      <c r="E64" s="12"/>
      <c r="F64" s="47">
        <f>SUMIF(H56:H61,"NEIN",F56:F61)</f>
        <v>1250000</v>
      </c>
      <c r="G64" s="12"/>
      <c r="H64" s="46"/>
      <c r="I64" s="12"/>
      <c r="N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ht="5.0999999999999996" customHeight="1" x14ac:dyDescent="0.25">
      <c r="B65" s="4"/>
      <c r="C65" s="4"/>
      <c r="H65" s="4"/>
      <c r="I65" s="4"/>
      <c r="J65" s="4"/>
      <c r="K65" s="4"/>
      <c r="L65" s="4"/>
      <c r="M65" s="4"/>
      <c r="N65" s="4"/>
      <c r="U65" s="34"/>
      <c r="V65" s="34"/>
      <c r="W65" s="3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x14ac:dyDescent="0.25">
      <c r="B66" s="4"/>
      <c r="C66" s="4"/>
      <c r="D66" s="12" t="s">
        <v>59</v>
      </c>
      <c r="E66" s="12"/>
      <c r="F66" s="16" t="str">
        <f>IF(AND(F62&gt;=F27,F64&gt;=F28,F47="JA"),"JA","NEIN")</f>
        <v>JA</v>
      </c>
      <c r="G66" s="12"/>
      <c r="H66" s="46"/>
      <c r="I66" s="12"/>
      <c r="N66" s="4"/>
      <c r="S66" s="12"/>
      <c r="T66" s="12"/>
      <c r="U66" s="48"/>
      <c r="V66" s="48"/>
      <c r="W66" s="48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2:37" ht="14.1" customHeight="1" x14ac:dyDescent="0.25">
      <c r="B67" s="4"/>
      <c r="C67" s="4"/>
      <c r="H67" s="4"/>
      <c r="I67" s="4"/>
      <c r="J67" s="4"/>
      <c r="K67" s="4"/>
      <c r="L67" s="4"/>
      <c r="M67" s="4"/>
      <c r="N67" s="4"/>
      <c r="U67" s="34"/>
      <c r="V67" s="34"/>
      <c r="W67" s="3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2:37" x14ac:dyDescent="0.25">
      <c r="B68" s="4"/>
      <c r="C68" s="12" t="s">
        <v>60</v>
      </c>
      <c r="E68" s="12"/>
      <c r="F68" s="47"/>
      <c r="G68" s="12"/>
      <c r="H68" s="46"/>
      <c r="I68" s="12"/>
      <c r="N68" s="4"/>
      <c r="S68" s="12"/>
      <c r="T68" s="12"/>
      <c r="U68" s="48"/>
      <c r="V68" s="48"/>
      <c r="W68" s="48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s="4" customFormat="1" ht="5.0999999999999996" customHeight="1" x14ac:dyDescent="0.25"/>
    <row r="70" spans="2:37" x14ac:dyDescent="0.25">
      <c r="B70" s="4"/>
      <c r="C70" s="86" t="str">
        <f>IF(F66="JA","######","")</f>
        <v>######</v>
      </c>
      <c r="D70" s="5" t="s">
        <v>48</v>
      </c>
      <c r="E70" s="5"/>
      <c r="F70" s="11" t="s">
        <v>16</v>
      </c>
      <c r="G70" s="11"/>
      <c r="H70" s="11" t="s">
        <v>58</v>
      </c>
      <c r="I70" s="11"/>
      <c r="J70" s="50" t="s">
        <v>57</v>
      </c>
      <c r="K70" s="5"/>
      <c r="L70" s="11" t="s">
        <v>52</v>
      </c>
      <c r="M70" s="56"/>
      <c r="N70" s="11" t="s">
        <v>53</v>
      </c>
      <c r="O70" s="57"/>
      <c r="P70" s="11" t="s">
        <v>55</v>
      </c>
      <c r="Q70" s="57"/>
      <c r="R70" s="11" t="s">
        <v>54</v>
      </c>
      <c r="S70" s="12"/>
      <c r="T70" s="12"/>
      <c r="U70" s="48"/>
      <c r="V70" s="48"/>
      <c r="W70" s="48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2:37" s="4" customFormat="1" ht="5.0999999999999996" customHeight="1" x14ac:dyDescent="0.25">
      <c r="C71" s="86"/>
    </row>
    <row r="72" spans="2:37" x14ac:dyDescent="0.25">
      <c r="B72" s="4"/>
      <c r="C72" s="86"/>
      <c r="D72" s="18" t="str">
        <f>D34</f>
        <v>Darlehensgeber 1</v>
      </c>
      <c r="E72" s="18"/>
      <c r="F72" s="58">
        <f>IF(F$66="JA",F34+(F$46-H34)/360*J34*F34,0)</f>
        <v>107066.66666666667</v>
      </c>
      <c r="G72" s="39"/>
      <c r="H72" s="39">
        <f>IF(F$66="JA",F$48*(1-L34),0)</f>
        <v>4500000</v>
      </c>
      <c r="I72" s="17"/>
      <c r="J72" s="16" t="str">
        <f>IF(N34&lt;&gt;0,(IF(F$66="JA",IF(H72&lt;N34,"JA","NEIN"),0)),"--")</f>
        <v>JA</v>
      </c>
      <c r="L72" s="39">
        <f>IF(J72="NEIN",N34,H72)</f>
        <v>4500000</v>
      </c>
      <c r="N72" s="51">
        <f>ROUND(L72/F$51,2)</f>
        <v>138.46</v>
      </c>
      <c r="P72" s="55">
        <f>ROUND(F72/(N72-1),0)</f>
        <v>779</v>
      </c>
      <c r="R72" s="53">
        <f>IF(F$66="JA",(F$52-N72)/F$52,0)</f>
        <v>0.25000833333333328</v>
      </c>
      <c r="S72" s="12"/>
      <c r="T72" s="12"/>
      <c r="U72" s="48"/>
      <c r="V72" s="48"/>
      <c r="W72" s="48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2:37" x14ac:dyDescent="0.25">
      <c r="B73" s="4"/>
      <c r="C73" s="86"/>
      <c r="D73" s="18" t="str">
        <f>D35</f>
        <v>Darlehensgeber 2</v>
      </c>
      <c r="E73" s="18"/>
      <c r="F73" s="58">
        <f>IF(F$66="JA",F35+(F$46-H35)/360*J35*F35,0)</f>
        <v>106833.33333333333</v>
      </c>
      <c r="G73" s="39"/>
      <c r="H73" s="39">
        <f>IF(F$66="JA",F$48*(1-L35),0)</f>
        <v>4500000</v>
      </c>
      <c r="I73" s="17"/>
      <c r="J73" s="16" t="str">
        <f>IF(N35&lt;&gt;0,(IF(F$66="JA",IF(H73&lt;N35,"JA","NEIN"),0)),"--")</f>
        <v>JA</v>
      </c>
      <c r="L73" s="39">
        <f>IF(J73="NEIN",N35,H73)</f>
        <v>4500000</v>
      </c>
      <c r="N73" s="51">
        <f>ROUND(L73/F$51,2)</f>
        <v>138.46</v>
      </c>
      <c r="P73" s="55">
        <f>ROUND(F73/(N73-1),0)</f>
        <v>777</v>
      </c>
      <c r="R73" s="53">
        <f>IF(F$66="JA",(F$52-N73)/F$52,0)</f>
        <v>0.25000833333333328</v>
      </c>
      <c r="S73" s="12"/>
      <c r="T73" s="12"/>
      <c r="U73" s="48"/>
      <c r="V73" s="48"/>
      <c r="W73" s="48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2:37" x14ac:dyDescent="0.25">
      <c r="B74" s="4"/>
      <c r="C74" s="86"/>
      <c r="D74" s="18" t="str">
        <f>D36</f>
        <v>Darlehensgeber 3</v>
      </c>
      <c r="E74" s="18"/>
      <c r="F74" s="58">
        <f>IF(F$66="JA",F36+(F$46-H36)/360*J36*F36,0)</f>
        <v>50233.333333333336</v>
      </c>
      <c r="G74" s="39"/>
      <c r="H74" s="39">
        <f>IF(F$66="JA",F$48*(1-L36),0)</f>
        <v>4800000</v>
      </c>
      <c r="I74" s="40"/>
      <c r="J74" s="16" t="str">
        <f>IF(N36&lt;&gt;0,(IF(F$66="JA",IF(H74&lt;N36,"JA","NEIN"),0)),"--")</f>
        <v>JA</v>
      </c>
      <c r="L74" s="39">
        <f>IF(J74="NEIN",N36,H74)</f>
        <v>4800000</v>
      </c>
      <c r="N74" s="51">
        <f>ROUND(L74/F$51,2)</f>
        <v>147.69</v>
      </c>
      <c r="P74" s="55">
        <f>ROUND(F74/(N74-1),0)</f>
        <v>342</v>
      </c>
      <c r="R74" s="53">
        <f>IF(F$66="JA",(F$52-N74)/F$52,0)</f>
        <v>0.20001250000000001</v>
      </c>
      <c r="S74" s="12"/>
      <c r="T74" s="12"/>
      <c r="U74" s="48"/>
      <c r="V74" s="48"/>
      <c r="W74" s="48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2:37" x14ac:dyDescent="0.25">
      <c r="B75" s="4"/>
      <c r="C75" s="86"/>
      <c r="D75" s="18" t="str">
        <f>D37</f>
        <v>Darlehensgeber 4</v>
      </c>
      <c r="E75" s="18"/>
      <c r="F75" s="58">
        <f>IF(F$66="JA",F37+(F$46-H37)/360*J37*F37,0)</f>
        <v>50158.333333333336</v>
      </c>
      <c r="G75" s="6"/>
      <c r="H75" s="39">
        <f>IF(F$66="JA",F$48*(1-L37),0)</f>
        <v>5100000</v>
      </c>
      <c r="I75" s="17"/>
      <c r="J75" s="16" t="str">
        <f>IF(N37&lt;&gt;0,(IF(F$66="JA",IF(H75&lt;N37,"JA","NEIN"),0)),"--")</f>
        <v>NEIN</v>
      </c>
      <c r="L75" s="39">
        <f>IF(J75="NEIN",N37,H75)</f>
        <v>5000000</v>
      </c>
      <c r="N75" s="51">
        <f>ROUND(L75/F$51,2)</f>
        <v>153.85</v>
      </c>
      <c r="P75" s="55">
        <f>ROUND(F75/(N75-1),0)</f>
        <v>328</v>
      </c>
      <c r="R75" s="53">
        <f>IF(F$66="JA",(F$52-N75)/F$52,0)</f>
        <v>0.16664583333333335</v>
      </c>
      <c r="S75" s="12"/>
      <c r="T75" s="12"/>
      <c r="U75" s="48"/>
      <c r="V75" s="48"/>
      <c r="W75" s="48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2:37" x14ac:dyDescent="0.25">
      <c r="B76" s="4"/>
      <c r="C76" s="86"/>
      <c r="D76" s="18" t="str">
        <f>D38</f>
        <v>Darlehensgeber 5</v>
      </c>
      <c r="E76" s="18"/>
      <c r="F76" s="58">
        <f>IF(F$66="JA",F38+(F$46-H38)/360*J38*F38,0)</f>
        <v>25000</v>
      </c>
      <c r="G76" s="6"/>
      <c r="H76" s="39">
        <f>IF(F$66="JA",F$48*(1-L38),0)</f>
        <v>5100000</v>
      </c>
      <c r="I76" s="17"/>
      <c r="J76" s="16" t="str">
        <f>IF(N38&lt;&gt;0,(IF(F$66="JA",IF(H76&lt;N38,"JA","NEIN"),0)),"--")</f>
        <v>NEIN</v>
      </c>
      <c r="L76" s="39">
        <f>IF(J76="NEIN",N38,H76)</f>
        <v>5000000</v>
      </c>
      <c r="N76" s="51">
        <f>ROUND(L76/F$51,2)</f>
        <v>153.85</v>
      </c>
      <c r="P76" s="55">
        <f>ROUND(F76/(N76-1),0)</f>
        <v>164</v>
      </c>
      <c r="R76" s="53">
        <f>IF(F$66="JA",(F$52-N76)/F$52,0)</f>
        <v>0.16664583333333335</v>
      </c>
      <c r="S76" s="12"/>
      <c r="T76" s="12"/>
      <c r="U76" s="48"/>
      <c r="V76" s="48"/>
      <c r="W76" s="48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2:37" s="4" customFormat="1" ht="5.0999999999999996" customHeight="1" thickBot="1" x14ac:dyDescent="0.3">
      <c r="C77" s="8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2:37" ht="16.5" thickTop="1" x14ac:dyDescent="0.25">
      <c r="B78" s="4"/>
      <c r="C78" s="86"/>
      <c r="D78" s="15" t="s">
        <v>25</v>
      </c>
      <c r="E78" s="15"/>
      <c r="F78" s="47">
        <f>SUM(F72:F76)</f>
        <v>339291.66666666663</v>
      </c>
      <c r="G78" s="12"/>
      <c r="H78" s="46"/>
      <c r="I78" s="12"/>
      <c r="M78" s="4"/>
      <c r="N78" s="4"/>
      <c r="O78" s="4"/>
      <c r="P78" s="47">
        <f>SUM(P72:P77)</f>
        <v>2390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2:37" x14ac:dyDescent="0.25">
      <c r="B79" s="4"/>
      <c r="C79" s="4"/>
      <c r="D79" s="12"/>
      <c r="E79" s="12"/>
      <c r="F79" s="47"/>
      <c r="G79" s="12"/>
      <c r="H79" s="46"/>
      <c r="I79" s="1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2:37" x14ac:dyDescent="0.25">
      <c r="B80" s="4"/>
      <c r="C80" s="12" t="s">
        <v>72</v>
      </c>
      <c r="D80" s="12"/>
      <c r="E80" s="12"/>
      <c r="F80" s="47"/>
      <c r="G80" s="12"/>
      <c r="H80" s="46"/>
      <c r="I80" s="1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2:37" s="4" customFormat="1" ht="5.0999999999999996" customHeight="1" x14ac:dyDescent="0.25"/>
    <row r="82" spans="2:37" x14ac:dyDescent="0.25">
      <c r="B82" s="4"/>
      <c r="C82" s="86" t="str">
        <f>IF(F66="NEIN","######","")</f>
        <v/>
      </c>
      <c r="D82" s="5" t="s">
        <v>48</v>
      </c>
      <c r="E82" s="5"/>
      <c r="F82" s="11" t="s">
        <v>16</v>
      </c>
      <c r="G82" s="11"/>
      <c r="H82" s="11"/>
      <c r="I82" s="11"/>
      <c r="J82" s="50"/>
      <c r="K82" s="5"/>
      <c r="L82" s="11" t="s">
        <v>52</v>
      </c>
      <c r="M82" s="56"/>
      <c r="N82" s="11" t="s">
        <v>53</v>
      </c>
      <c r="O82" s="57"/>
      <c r="P82" s="11" t="s">
        <v>55</v>
      </c>
      <c r="Q82" s="57"/>
      <c r="R82" s="11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2:37" s="4" customFormat="1" ht="5.0999999999999996" customHeight="1" x14ac:dyDescent="0.25">
      <c r="C83" s="86"/>
    </row>
    <row r="84" spans="2:37" x14ac:dyDescent="0.25">
      <c r="B84" s="4"/>
      <c r="C84" s="86"/>
      <c r="D84" s="18" t="str">
        <f>D72</f>
        <v>Darlehensgeber 1</v>
      </c>
      <c r="E84" s="18"/>
      <c r="F84" s="58">
        <f>IF(F$66="NEIN",F34+(F$46-H34)/360*J34*F34,0)</f>
        <v>0</v>
      </c>
      <c r="G84" s="39"/>
      <c r="H84" s="17"/>
      <c r="I84" s="17"/>
      <c r="J84" s="16"/>
      <c r="L84" s="39">
        <f>F$30</f>
        <v>2500000</v>
      </c>
      <c r="N84" s="51">
        <f>ROUND(L84/F$51,2)</f>
        <v>76.92</v>
      </c>
      <c r="P84" s="55">
        <f>ROUND(F84/(N84-1),0)</f>
        <v>0</v>
      </c>
      <c r="R84" s="5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2:37" x14ac:dyDescent="0.25">
      <c r="B85" s="4"/>
      <c r="C85" s="86"/>
      <c r="D85" s="18" t="str">
        <f>D73</f>
        <v>Darlehensgeber 2</v>
      </c>
      <c r="E85" s="18"/>
      <c r="F85" s="58">
        <f>IF(F$66="NEIN",F35+(F$46-H35)/360*J35*F35,0)</f>
        <v>0</v>
      </c>
      <c r="G85" s="39"/>
      <c r="H85" s="17"/>
      <c r="I85" s="17"/>
      <c r="J85" s="16"/>
      <c r="L85" s="39">
        <f t="shared" ref="L85:L88" si="1">F$30</f>
        <v>2500000</v>
      </c>
      <c r="N85" s="51">
        <f>ROUND(L85/F$51,2)</f>
        <v>76.92</v>
      </c>
      <c r="P85" s="55">
        <f>ROUND(F85/(N85-1),0)</f>
        <v>0</v>
      </c>
      <c r="R85" s="5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2:37" x14ac:dyDescent="0.25">
      <c r="B86" s="4"/>
      <c r="C86" s="86"/>
      <c r="D86" s="18" t="str">
        <f>D74</f>
        <v>Darlehensgeber 3</v>
      </c>
      <c r="E86" s="18"/>
      <c r="F86" s="58">
        <f>IF(F$66="NEIN",F36+(F$46-H36)/360*J36*F36,0)</f>
        <v>0</v>
      </c>
      <c r="G86" s="39"/>
      <c r="H86" s="40"/>
      <c r="I86" s="40"/>
      <c r="J86" s="16"/>
      <c r="L86" s="39">
        <f t="shared" si="1"/>
        <v>2500000</v>
      </c>
      <c r="N86" s="51">
        <f>ROUND(L86/F$51,2)</f>
        <v>76.92</v>
      </c>
      <c r="P86" s="55">
        <f>ROUND(F86/(N86-1),0)</f>
        <v>0</v>
      </c>
      <c r="R86" s="5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2:37" x14ac:dyDescent="0.25">
      <c r="B87" s="4"/>
      <c r="C87" s="86"/>
      <c r="D87" s="18" t="str">
        <f>D75</f>
        <v>Darlehensgeber 4</v>
      </c>
      <c r="E87" s="18"/>
      <c r="F87" s="58">
        <f>IF(F$66="NEIN",F37+(F$46-H37)/360*J37*F37,0)</f>
        <v>0</v>
      </c>
      <c r="G87" s="6"/>
      <c r="H87" s="17"/>
      <c r="I87" s="17"/>
      <c r="J87" s="16"/>
      <c r="L87" s="39">
        <f t="shared" si="1"/>
        <v>2500000</v>
      </c>
      <c r="N87" s="51">
        <f>ROUND(L87/F$51,2)</f>
        <v>76.92</v>
      </c>
      <c r="P87" s="55">
        <f>ROUND(F87/(N87-1),0)</f>
        <v>0</v>
      </c>
      <c r="R87" s="5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2:37" x14ac:dyDescent="0.25">
      <c r="B88" s="4"/>
      <c r="C88" s="86"/>
      <c r="D88" s="18" t="str">
        <f>D76</f>
        <v>Darlehensgeber 5</v>
      </c>
      <c r="E88" s="18"/>
      <c r="F88" s="58">
        <f>IF(F$66="NEIN",F38+(F$46-H38)/360*J38*F38,0)</f>
        <v>0</v>
      </c>
      <c r="G88" s="6"/>
      <c r="H88" s="17"/>
      <c r="I88" s="17"/>
      <c r="J88" s="16"/>
      <c r="L88" s="39">
        <f t="shared" si="1"/>
        <v>2500000</v>
      </c>
      <c r="N88" s="51">
        <f>ROUND(L88/F$51,2)</f>
        <v>76.92</v>
      </c>
      <c r="P88" s="55">
        <f>ROUND(F88/(N88-1),0)</f>
        <v>0</v>
      </c>
      <c r="R88" s="5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2:37" s="4" customFormat="1" ht="5.0999999999999996" customHeight="1" thickBot="1" x14ac:dyDescent="0.3">
      <c r="C89" s="8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2:37" ht="16.5" thickTop="1" x14ac:dyDescent="0.25">
      <c r="B90" s="4"/>
      <c r="C90" s="86"/>
      <c r="D90" s="15" t="s">
        <v>25</v>
      </c>
      <c r="E90" s="15"/>
      <c r="F90" s="59">
        <f>SUM(F84:F88)</f>
        <v>0</v>
      </c>
      <c r="G90" s="12"/>
      <c r="H90" s="46"/>
      <c r="I90" s="12"/>
      <c r="M90" s="4"/>
      <c r="N90" s="4"/>
      <c r="O90" s="4"/>
      <c r="P90" s="47">
        <f>SUM(P84:P89)</f>
        <v>0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2:37" x14ac:dyDescent="0.25">
      <c r="B91" s="4"/>
      <c r="C91" s="4"/>
      <c r="D91" s="12"/>
      <c r="E91" s="12"/>
      <c r="F91" s="47"/>
      <c r="G91" s="12"/>
      <c r="H91" s="46"/>
      <c r="I91" s="12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2:37" x14ac:dyDescent="0.25">
      <c r="B92" s="12"/>
      <c r="C92" s="12" t="s">
        <v>64</v>
      </c>
      <c r="D92" s="12"/>
      <c r="E92" s="12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2:37" s="4" customFormat="1" ht="5.0999999999999996" customHeight="1" x14ac:dyDescent="0.25"/>
    <row r="94" spans="2:37" ht="15.95" customHeight="1" x14ac:dyDescent="0.25">
      <c r="B94" s="4"/>
      <c r="C94" s="4"/>
      <c r="D94" s="5" t="s">
        <v>6</v>
      </c>
      <c r="E94" s="5"/>
      <c r="F94" s="5" t="s">
        <v>7</v>
      </c>
      <c r="G94" s="5"/>
      <c r="H94" s="11" t="s">
        <v>8</v>
      </c>
      <c r="I94" s="11"/>
      <c r="J94" s="11" t="s">
        <v>67</v>
      </c>
      <c r="K94" s="56"/>
      <c r="L94" s="11" t="s">
        <v>68</v>
      </c>
      <c r="M94" s="4"/>
      <c r="N94" s="4"/>
      <c r="O94" s="4"/>
      <c r="P94" s="4"/>
      <c r="Q94" s="4"/>
      <c r="R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2:37" s="4" customFormat="1" ht="5.0999999999999996" customHeight="1" x14ac:dyDescent="0.25"/>
    <row r="96" spans="2:37" ht="15.95" customHeight="1" x14ac:dyDescent="0.25">
      <c r="C96" s="4"/>
      <c r="D96" s="4" t="str">
        <f>D14</f>
        <v>Gründer 1</v>
      </c>
      <c r="E96" s="63"/>
      <c r="F96" s="4" t="str">
        <f>F14</f>
        <v>Common</v>
      </c>
      <c r="G96" s="4"/>
      <c r="H96" s="39">
        <f>H14</f>
        <v>12500</v>
      </c>
      <c r="I96" s="39"/>
      <c r="J96" s="27">
        <f>H96/H$20</f>
        <v>0.38461538461538464</v>
      </c>
      <c r="L96" s="54">
        <f>H96/H$114</f>
        <v>0.29524304407388163</v>
      </c>
    </row>
    <row r="97" spans="3:12" ht="15.95" customHeight="1" x14ac:dyDescent="0.25">
      <c r="C97" s="4"/>
      <c r="D97" s="4" t="str">
        <f>D15</f>
        <v>Gründer 2</v>
      </c>
      <c r="E97" s="4"/>
      <c r="F97" s="4" t="str">
        <f>F15</f>
        <v>Common</v>
      </c>
      <c r="G97" s="4"/>
      <c r="H97" s="39">
        <f>H15</f>
        <v>10000</v>
      </c>
      <c r="I97" s="39"/>
      <c r="J97" s="27">
        <f>H97/H$20</f>
        <v>0.30769230769230771</v>
      </c>
      <c r="L97" s="54">
        <f>H97/H$114</f>
        <v>0.2361944352591053</v>
      </c>
    </row>
    <row r="98" spans="3:12" ht="15.95" customHeight="1" x14ac:dyDescent="0.25">
      <c r="C98" s="4"/>
      <c r="D98" s="4" t="str">
        <f>D16</f>
        <v>Gründer 3</v>
      </c>
      <c r="E98" s="4"/>
      <c r="F98" s="4" t="str">
        <f>F16</f>
        <v>Common</v>
      </c>
      <c r="G98" s="4"/>
      <c r="H98" s="39">
        <f>H16</f>
        <v>2500</v>
      </c>
      <c r="I98" s="39"/>
      <c r="J98" s="27">
        <f t="shared" ref="J98:J100" si="2">H98/H$20</f>
        <v>7.6923076923076927E-2</v>
      </c>
      <c r="L98" s="54">
        <f>H98/H$114</f>
        <v>5.9048608814776325E-2</v>
      </c>
    </row>
    <row r="99" spans="3:12" ht="15.95" customHeight="1" x14ac:dyDescent="0.25">
      <c r="C99" s="4"/>
      <c r="D99" s="4" t="str">
        <f>D17</f>
        <v>Friends &amp; Family Investor 1</v>
      </c>
      <c r="E99" s="4"/>
      <c r="F99" s="4" t="str">
        <f>F17</f>
        <v>F&amp;F</v>
      </c>
      <c r="G99" s="4"/>
      <c r="H99" s="39">
        <f>H17</f>
        <v>5000</v>
      </c>
      <c r="I99" s="39"/>
      <c r="J99" s="27">
        <f t="shared" si="2"/>
        <v>0.15384615384615385</v>
      </c>
      <c r="L99" s="54">
        <f>H99/H$114</f>
        <v>0.11809721762955265</v>
      </c>
    </row>
    <row r="100" spans="3:12" ht="15.95" customHeight="1" x14ac:dyDescent="0.25">
      <c r="C100" s="4"/>
      <c r="D100" s="4" t="str">
        <f>D18</f>
        <v>Friends &amp; Family Investor 2</v>
      </c>
      <c r="E100" s="4"/>
      <c r="F100" s="4" t="str">
        <f>F18</f>
        <v>F&amp;F</v>
      </c>
      <c r="G100" s="4"/>
      <c r="H100" s="39">
        <f>H18</f>
        <v>2500</v>
      </c>
      <c r="I100" s="39"/>
      <c r="J100" s="27">
        <f t="shared" si="2"/>
        <v>7.6923076923076927E-2</v>
      </c>
      <c r="L100" s="54">
        <f>H100/H$114</f>
        <v>5.9048608814776325E-2</v>
      </c>
    </row>
    <row r="101" spans="3:12" s="4" customFormat="1" ht="5.0999999999999996" customHeight="1" x14ac:dyDescent="0.25">
      <c r="L101" s="54"/>
    </row>
    <row r="102" spans="3:12" s="64" customFormat="1" ht="15.95" customHeight="1" x14ac:dyDescent="0.25">
      <c r="D102" s="69" t="str">
        <f>D56</f>
        <v>Eigenkapitalinvestor 1</v>
      </c>
      <c r="E102" s="69"/>
      <c r="F102" s="70" t="str">
        <f>F$50</f>
        <v>Series-A</v>
      </c>
      <c r="G102" s="69"/>
      <c r="H102" s="71">
        <f>J56</f>
        <v>4063</v>
      </c>
      <c r="I102" s="72"/>
      <c r="J102" s="73"/>
      <c r="K102" s="70"/>
      <c r="L102" s="74">
        <f>H102/H$114</f>
        <v>9.5965799045774486E-2</v>
      </c>
    </row>
    <row r="103" spans="3:12" s="64" customFormat="1" ht="15.95" customHeight="1" x14ac:dyDescent="0.25">
      <c r="D103" s="69" t="str">
        <f>D57</f>
        <v>Eigenkapitalinvestor 2</v>
      </c>
      <c r="E103" s="70"/>
      <c r="F103" s="70" t="str">
        <f>F$50</f>
        <v>Series-A</v>
      </c>
      <c r="G103" s="70"/>
      <c r="H103" s="71">
        <f>J57</f>
        <v>2708</v>
      </c>
      <c r="I103" s="70"/>
      <c r="J103" s="70"/>
      <c r="K103" s="70"/>
      <c r="L103" s="74">
        <f>H103/H$114</f>
        <v>6.3961453068165711E-2</v>
      </c>
    </row>
    <row r="104" spans="3:12" s="64" customFormat="1" ht="15.95" customHeight="1" x14ac:dyDescent="0.25">
      <c r="D104" s="69" t="str">
        <f>D58</f>
        <v>Eigenkapitalinvestor 3</v>
      </c>
      <c r="E104" s="70"/>
      <c r="F104" s="70" t="str">
        <f>F$50</f>
        <v>Series-A</v>
      </c>
      <c r="G104" s="70"/>
      <c r="H104" s="71">
        <f>J58</f>
        <v>271</v>
      </c>
      <c r="I104" s="70"/>
      <c r="J104" s="70"/>
      <c r="K104" s="70"/>
      <c r="L104" s="74">
        <f>H104/H$114</f>
        <v>6.4008691955217533E-3</v>
      </c>
    </row>
    <row r="105" spans="3:12" s="64" customFormat="1" ht="15.95" customHeight="1" x14ac:dyDescent="0.25">
      <c r="D105" s="69" t="str">
        <f>D59</f>
        <v>Eigenkapitalinvestor 4</v>
      </c>
      <c r="E105" s="70"/>
      <c r="F105" s="70" t="str">
        <f>F$50</f>
        <v>Series-A</v>
      </c>
      <c r="G105" s="70"/>
      <c r="H105" s="71">
        <f>J59</f>
        <v>271</v>
      </c>
      <c r="I105" s="70"/>
      <c r="J105" s="70"/>
      <c r="K105" s="70"/>
      <c r="L105" s="74">
        <f>H105/H$114</f>
        <v>6.4008691955217533E-3</v>
      </c>
    </row>
    <row r="106" spans="3:12" s="64" customFormat="1" ht="15.95" customHeight="1" x14ac:dyDescent="0.25">
      <c r="D106" s="69" t="str">
        <f>D60</f>
        <v>Eigenkapitalinvestor 5</v>
      </c>
      <c r="E106" s="70"/>
      <c r="F106" s="70" t="str">
        <f>F$50</f>
        <v>Series-A</v>
      </c>
      <c r="G106" s="70"/>
      <c r="H106" s="71">
        <f>J60</f>
        <v>135</v>
      </c>
      <c r="I106" s="70"/>
      <c r="J106" s="70"/>
      <c r="K106" s="70"/>
      <c r="L106" s="74">
        <f>H106/H$114</f>
        <v>3.1886248759979215E-3</v>
      </c>
    </row>
    <row r="107" spans="3:12" s="4" customFormat="1" ht="5.0999999999999996" customHeight="1" x14ac:dyDescent="0.25">
      <c r="L107" s="54"/>
    </row>
    <row r="108" spans="3:12" s="64" customFormat="1" ht="15.95" customHeight="1" x14ac:dyDescent="0.25">
      <c r="D108" s="75" t="str">
        <f>D72</f>
        <v>Darlehensgeber 1</v>
      </c>
      <c r="E108" s="75"/>
      <c r="F108" s="75" t="str">
        <f>IF(F$66="JA",F$50,F$49)</f>
        <v>Series-A</v>
      </c>
      <c r="G108" s="75"/>
      <c r="H108" s="76">
        <f>P72+P84</f>
        <v>779</v>
      </c>
      <c r="I108" s="75"/>
      <c r="J108" s="75"/>
      <c r="K108" s="75"/>
      <c r="L108" s="77">
        <f>H108/H$114</f>
        <v>1.8399546506684301E-2</v>
      </c>
    </row>
    <row r="109" spans="3:12" s="64" customFormat="1" ht="15.95" customHeight="1" x14ac:dyDescent="0.25">
      <c r="D109" s="75" t="str">
        <f>D73</f>
        <v>Darlehensgeber 2</v>
      </c>
      <c r="E109" s="75"/>
      <c r="F109" s="75" t="str">
        <f>IF(F$66="JA",F$50,F$49)</f>
        <v>Series-A</v>
      </c>
      <c r="G109" s="75"/>
      <c r="H109" s="76">
        <f>P73+P85</f>
        <v>777</v>
      </c>
      <c r="I109" s="75"/>
      <c r="J109" s="75"/>
      <c r="K109" s="75"/>
      <c r="L109" s="77">
        <f>H109/H$114</f>
        <v>1.8352307619632482E-2</v>
      </c>
    </row>
    <row r="110" spans="3:12" s="64" customFormat="1" ht="15.95" customHeight="1" x14ac:dyDescent="0.25">
      <c r="D110" s="75" t="str">
        <f>D74</f>
        <v>Darlehensgeber 3</v>
      </c>
      <c r="E110" s="75"/>
      <c r="F110" s="75" t="str">
        <f>IF(F$66="JA",F$50,F$49)</f>
        <v>Series-A</v>
      </c>
      <c r="G110" s="75"/>
      <c r="H110" s="76">
        <f>P74+P86</f>
        <v>342</v>
      </c>
      <c r="I110" s="75"/>
      <c r="J110" s="75"/>
      <c r="K110" s="75"/>
      <c r="L110" s="77">
        <f>H110/H$114</f>
        <v>8.0778496858614005E-3</v>
      </c>
    </row>
    <row r="111" spans="3:12" s="64" customFormat="1" ht="15.95" customHeight="1" x14ac:dyDescent="0.25">
      <c r="D111" s="75" t="str">
        <f>D75</f>
        <v>Darlehensgeber 4</v>
      </c>
      <c r="E111" s="75"/>
      <c r="F111" s="75" t="str">
        <f>IF(F$66="JA",F$50,F$49)</f>
        <v>Series-A</v>
      </c>
      <c r="G111" s="75"/>
      <c r="H111" s="76">
        <f>P75+P87</f>
        <v>328</v>
      </c>
      <c r="I111" s="75"/>
      <c r="J111" s="75"/>
      <c r="K111" s="75"/>
      <c r="L111" s="77">
        <f>H111/H$114</f>
        <v>7.747177476498654E-3</v>
      </c>
    </row>
    <row r="112" spans="3:12" ht="15.95" customHeight="1" x14ac:dyDescent="0.25">
      <c r="D112" s="78" t="str">
        <f>D76</f>
        <v>Darlehensgeber 5</v>
      </c>
      <c r="E112" s="33"/>
      <c r="F112" s="78" t="str">
        <f>IF(F$66="JA",F$50,F$49)</f>
        <v>Series-A</v>
      </c>
      <c r="G112" s="33"/>
      <c r="H112" s="79">
        <f>P76+P88</f>
        <v>164</v>
      </c>
      <c r="I112" s="33"/>
      <c r="J112" s="33"/>
      <c r="K112" s="33"/>
      <c r="L112" s="77">
        <f>H112/H$114</f>
        <v>3.873588738249327E-3</v>
      </c>
    </row>
    <row r="113" spans="4:18" s="4" customFormat="1" ht="5.0999999999999996" customHeight="1" thickBot="1" x14ac:dyDescent="0.3">
      <c r="D113" s="7"/>
      <c r="E113" s="7"/>
      <c r="F113" s="7"/>
      <c r="G113" s="7"/>
      <c r="H113" s="7"/>
      <c r="I113" s="7"/>
      <c r="J113" s="7"/>
      <c r="K113" s="7"/>
      <c r="L113" s="9"/>
      <c r="P113" s="1"/>
    </row>
    <row r="114" spans="4:18" ht="15.95" customHeight="1" thickTop="1" x14ac:dyDescent="0.25">
      <c r="D114" s="12" t="s">
        <v>25</v>
      </c>
      <c r="E114" s="12"/>
      <c r="F114" s="59"/>
      <c r="G114" s="12"/>
      <c r="H114" s="47">
        <f>SUM(H96:H113)</f>
        <v>42338</v>
      </c>
      <c r="I114" s="12"/>
      <c r="L114" s="68">
        <f>SUM(L96:L113)</f>
        <v>1</v>
      </c>
      <c r="M114" s="4"/>
      <c r="N114" s="4"/>
      <c r="O114" s="4"/>
      <c r="Q114" s="4"/>
      <c r="R114" s="4"/>
    </row>
    <row r="115" spans="4:18" ht="15.95" customHeight="1" x14ac:dyDescent="0.25"/>
    <row r="116" spans="4:18" ht="15.95" customHeight="1" x14ac:dyDescent="0.25"/>
    <row r="117" spans="4:18" ht="15.95" customHeight="1" x14ac:dyDescent="0.25"/>
    <row r="118" spans="4:18" ht="15.95" customHeight="1" x14ac:dyDescent="0.25"/>
    <row r="119" spans="4:18" ht="15.95" customHeight="1" x14ac:dyDescent="0.25"/>
    <row r="120" spans="4:18" ht="15.95" customHeight="1" x14ac:dyDescent="0.25"/>
    <row r="121" spans="4:18" ht="15.95" customHeight="1" x14ac:dyDescent="0.25"/>
    <row r="122" spans="4:18" ht="15.95" customHeight="1" x14ac:dyDescent="0.25"/>
    <row r="123" spans="4:18" ht="15.95" customHeight="1" x14ac:dyDescent="0.25"/>
    <row r="124" spans="4:18" ht="15.95" customHeight="1" x14ac:dyDescent="0.25"/>
    <row r="125" spans="4:18" ht="15.95" customHeight="1" x14ac:dyDescent="0.25"/>
    <row r="126" spans="4:18" ht="15.95" customHeight="1" x14ac:dyDescent="0.25"/>
    <row r="127" spans="4:18" ht="15.95" customHeight="1" x14ac:dyDescent="0.25"/>
    <row r="128" spans="4:1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</sheetData>
  <mergeCells count="5">
    <mergeCell ref="D22:J22"/>
    <mergeCell ref="B8:J8"/>
    <mergeCell ref="C82:C90"/>
    <mergeCell ref="C70:C78"/>
    <mergeCell ref="N30:N32"/>
  </mergeCells>
  <conditionalFormatting sqref="F66">
    <cfRule type="containsText" dxfId="25" priority="84" operator="containsText" text="JA">
      <formula>NOT(ISERROR(SEARCH("JA",F66)))</formula>
    </cfRule>
    <cfRule type="containsText" dxfId="24" priority="85" operator="containsText" text="NEIN">
      <formula>NOT(ISERROR(SEARCH("NEIN",F66)))</formula>
    </cfRule>
  </conditionalFormatting>
  <conditionalFormatting sqref="F47">
    <cfRule type="containsText" dxfId="23" priority="82" operator="containsText" text="JA">
      <formula>NOT(ISERROR(SEARCH("JA",F47)))</formula>
    </cfRule>
    <cfRule type="containsText" dxfId="22" priority="83" operator="containsText" text="NEIN">
      <formula>NOT(ISERROR(SEARCH("NEIN",F47)))</formula>
    </cfRule>
  </conditionalFormatting>
  <conditionalFormatting sqref="J72">
    <cfRule type="containsText" dxfId="21" priority="80" operator="containsText" text="JA">
      <formula>NOT(ISERROR(SEARCH("JA",J72)))</formula>
    </cfRule>
    <cfRule type="containsText" dxfId="20" priority="81" operator="containsText" text="NEIN">
      <formula>NOT(ISERROR(SEARCH("NEIN",J72)))</formula>
    </cfRule>
  </conditionalFormatting>
  <conditionalFormatting sqref="J84">
    <cfRule type="containsText" dxfId="19" priority="36" operator="containsText" text="JA">
      <formula>NOT(ISERROR(SEARCH("JA",J84)))</formula>
    </cfRule>
    <cfRule type="containsText" dxfId="18" priority="37" operator="containsText" text="NEIN">
      <formula>NOT(ISERROR(SEARCH("NEIN",J84)))</formula>
    </cfRule>
  </conditionalFormatting>
  <conditionalFormatting sqref="J85">
    <cfRule type="containsText" dxfId="17" priority="34" operator="containsText" text="JA">
      <formula>NOT(ISERROR(SEARCH("JA",J85)))</formula>
    </cfRule>
    <cfRule type="containsText" dxfId="16" priority="35" operator="containsText" text="NEIN">
      <formula>NOT(ISERROR(SEARCH("NEIN",J85)))</formula>
    </cfRule>
  </conditionalFormatting>
  <conditionalFormatting sqref="J86">
    <cfRule type="containsText" dxfId="15" priority="32" operator="containsText" text="JA">
      <formula>NOT(ISERROR(SEARCH("JA",J86)))</formula>
    </cfRule>
    <cfRule type="containsText" dxfId="14" priority="33" operator="containsText" text="NEIN">
      <formula>NOT(ISERROR(SEARCH("NEIN",J86)))</formula>
    </cfRule>
  </conditionalFormatting>
  <conditionalFormatting sqref="J87">
    <cfRule type="containsText" dxfId="13" priority="30" operator="containsText" text="JA">
      <formula>NOT(ISERROR(SEARCH("JA",J87)))</formula>
    </cfRule>
    <cfRule type="containsText" dxfId="12" priority="31" operator="containsText" text="NEIN">
      <formula>NOT(ISERROR(SEARCH("NEIN",J87)))</formula>
    </cfRule>
  </conditionalFormatting>
  <conditionalFormatting sqref="J88">
    <cfRule type="containsText" dxfId="11" priority="28" operator="containsText" text="JA">
      <formula>NOT(ISERROR(SEARCH("JA",J88)))</formula>
    </cfRule>
    <cfRule type="containsText" dxfId="10" priority="29" operator="containsText" text="NEIN">
      <formula>NOT(ISERROR(SEARCH("NEIN",J88)))</formula>
    </cfRule>
  </conditionalFormatting>
  <conditionalFormatting sqref="C70:C78">
    <cfRule type="containsText" dxfId="9" priority="26" operator="containsText" text="######">
      <formula>NOT(ISERROR(SEARCH("######",C70)))</formula>
    </cfRule>
  </conditionalFormatting>
  <conditionalFormatting sqref="C82:C90">
    <cfRule type="containsText" dxfId="8" priority="25" operator="containsText" text="######">
      <formula>NOT(ISERROR(SEARCH("######",C82)))</formula>
    </cfRule>
  </conditionalFormatting>
  <conditionalFormatting sqref="J73">
    <cfRule type="containsText" dxfId="7" priority="7" operator="containsText" text="JA">
      <formula>NOT(ISERROR(SEARCH("JA",J73)))</formula>
    </cfRule>
    <cfRule type="containsText" dxfId="6" priority="8" operator="containsText" text="NEIN">
      <formula>NOT(ISERROR(SEARCH("NEIN",J73)))</formula>
    </cfRule>
  </conditionalFormatting>
  <conditionalFormatting sqref="J74">
    <cfRule type="containsText" dxfId="5" priority="5" operator="containsText" text="JA">
      <formula>NOT(ISERROR(SEARCH("JA",J74)))</formula>
    </cfRule>
    <cfRule type="containsText" dxfId="4" priority="6" operator="containsText" text="NEIN">
      <formula>NOT(ISERROR(SEARCH("NEIN",J74)))</formula>
    </cfRule>
  </conditionalFormatting>
  <conditionalFormatting sqref="J75">
    <cfRule type="containsText" dxfId="3" priority="3" operator="containsText" text="JA">
      <formula>NOT(ISERROR(SEARCH("JA",J75)))</formula>
    </cfRule>
    <cfRule type="containsText" dxfId="2" priority="4" operator="containsText" text="NEIN">
      <formula>NOT(ISERROR(SEARCH("NEIN",J75)))</formula>
    </cfRule>
  </conditionalFormatting>
  <conditionalFormatting sqref="J76">
    <cfRule type="containsText" dxfId="1" priority="1" operator="containsText" text="JA">
      <formula>NOT(ISERROR(SEARCH("JA",J76)))</formula>
    </cfRule>
    <cfRule type="containsText" dxfId="0" priority="2" operator="containsText" text="NEIN">
      <formula>NOT(ISERROR(SEARCH("NEIN",J76)))</formula>
    </cfRule>
  </conditionalFormatting>
  <pageMargins left="0.74803149606299213" right="0.74803149606299213" top="0.98425196850393704" bottom="0.98425196850393704" header="0.51181102362204722" footer="0.51181102362204722"/>
  <pageSetup paperSize="9" scale="46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RowHeight="15.75" x14ac:dyDescent="0.25"/>
  <sheetData>
    <row r="1" spans="1:1" x14ac:dyDescent="0.25">
      <c r="A1" t="s">
        <v>0</v>
      </c>
    </row>
    <row r="2" spans="1:1" x14ac:dyDescent="0.25">
      <c r="A2" t="s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Blatt1</vt:lpstr>
      <vt:lpstr>Blatt2</vt:lpstr>
      <vt:lpstr>Blatt1!Druckbereich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Vitalii Ivantsov</dc:creator>
  <cp:lastModifiedBy>mstruebing</cp:lastModifiedBy>
  <cp:lastPrinted>2016-11-07T12:52:01Z</cp:lastPrinted>
  <dcterms:created xsi:type="dcterms:W3CDTF">2016-06-27T08:33:31Z</dcterms:created>
  <dcterms:modified xsi:type="dcterms:W3CDTF">2022-03-22T07:27:39Z</dcterms:modified>
</cp:coreProperties>
</file>